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Research data\3_Multi_separation_method\Real matrix tests\1_Concrete tests\Alpha data\C13\"/>
    </mc:Choice>
  </mc:AlternateContent>
  <bookViews>
    <workbookView xWindow="-120" yWindow="-120" windowWidth="29040" windowHeight="15840" activeTab="4"/>
  </bookViews>
  <sheets>
    <sheet name="C13D" sheetId="1" r:id="rId1"/>
    <sheet name="C13D gamma data" sheetId="2" r:id="rId2"/>
    <sheet name="Sr-90 cherenkov" sheetId="5" r:id="rId3"/>
    <sheet name="C13HP" sheetId="3" r:id="rId4"/>
    <sheet name="Alpha data" sheetId="4" r:id="rId5"/>
    <sheet name="U234 calcs" sheetId="6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86" i="4" l="1"/>
  <c r="U77" i="4"/>
  <c r="U51" i="4"/>
  <c r="U42" i="4"/>
  <c r="U32" i="4"/>
  <c r="M12" i="6" l="1"/>
  <c r="K2" i="6" l="1"/>
  <c r="L2" i="6" s="1"/>
  <c r="B2" i="6"/>
  <c r="C2" i="6" s="1"/>
  <c r="B22" i="6"/>
  <c r="B13" i="6"/>
  <c r="B15" i="6" s="1"/>
  <c r="B18" i="6" s="1"/>
  <c r="C5" i="6" l="1"/>
  <c r="D5" i="6" s="1"/>
  <c r="E5" i="6" s="1"/>
  <c r="F5" i="6" s="1"/>
  <c r="G5" i="6" s="1"/>
  <c r="D2" i="6"/>
  <c r="E2" i="6" s="1"/>
  <c r="F2" i="6" s="1"/>
  <c r="L5" i="6"/>
  <c r="M2" i="6"/>
  <c r="J14" i="5"/>
  <c r="I14" i="5"/>
  <c r="H14" i="5"/>
  <c r="J13" i="5"/>
  <c r="I13" i="5" s="1"/>
  <c r="K13" i="5" s="1"/>
  <c r="H13" i="5"/>
  <c r="H12" i="5"/>
  <c r="J12" i="5" s="1"/>
  <c r="I12" i="5" s="1"/>
  <c r="H11" i="5"/>
  <c r="J11" i="5" s="1"/>
  <c r="I11" i="5" s="1"/>
  <c r="J10" i="5"/>
  <c r="I10" i="5"/>
  <c r="H10" i="5"/>
  <c r="J9" i="5"/>
  <c r="I9" i="5" s="1"/>
  <c r="H9" i="5"/>
  <c r="H8" i="5"/>
  <c r="J8" i="5" s="1"/>
  <c r="I8" i="5" s="1"/>
  <c r="H7" i="5"/>
  <c r="J7" i="5" s="1"/>
  <c r="I7" i="5" s="1"/>
  <c r="J6" i="5"/>
  <c r="I6" i="5"/>
  <c r="K6" i="5" s="1"/>
  <c r="J5" i="5"/>
  <c r="I5" i="5"/>
  <c r="J4" i="5"/>
  <c r="I4" i="5"/>
  <c r="K4" i="5" s="1"/>
  <c r="J3" i="5"/>
  <c r="I3" i="5"/>
  <c r="H2" i="5"/>
  <c r="J2" i="5" s="1"/>
  <c r="I2" i="5" s="1"/>
  <c r="K2" i="5" s="1"/>
  <c r="P1" i="5"/>
  <c r="G2" i="6" l="1"/>
  <c r="J9" i="6" s="1"/>
  <c r="J10" i="6"/>
  <c r="L10" i="6"/>
  <c r="M5" i="6"/>
  <c r="L9" i="6" s="1"/>
  <c r="K9" i="5"/>
  <c r="K11" i="5"/>
  <c r="L11" i="5" s="1"/>
  <c r="K3" i="5"/>
  <c r="L3" i="5" s="1"/>
  <c r="K5" i="5"/>
  <c r="K7" i="5"/>
  <c r="L7" i="5" s="1"/>
  <c r="K12" i="5"/>
  <c r="L12" i="5" s="1"/>
  <c r="K14" i="5"/>
  <c r="L14" i="5" s="1"/>
  <c r="K8" i="5"/>
  <c r="L8" i="5" s="1"/>
  <c r="K10" i="5"/>
  <c r="L10" i="5" s="1"/>
  <c r="L9" i="5"/>
  <c r="L13" i="5"/>
  <c r="L4" i="5"/>
  <c r="L5" i="5"/>
  <c r="L6" i="5"/>
  <c r="H99" i="4"/>
  <c r="J12" i="6" l="1"/>
  <c r="L12" i="6"/>
  <c r="B98" i="4"/>
  <c r="B99" i="4" s="1"/>
  <c r="B58" i="4"/>
  <c r="B57" i="4"/>
  <c r="B100" i="4" l="1"/>
  <c r="B102" i="4"/>
  <c r="B103" i="4" s="1"/>
  <c r="B63" i="4"/>
  <c r="B62" i="4"/>
  <c r="B104" i="4" l="1"/>
  <c r="Q107" i="4"/>
  <c r="Q108" i="4" s="1"/>
  <c r="Q109" i="4" s="1"/>
  <c r="N107" i="4"/>
  <c r="N108" i="4" s="1"/>
  <c r="K107" i="4"/>
  <c r="K108" i="4" s="1"/>
  <c r="Q69" i="4"/>
  <c r="U69" i="4" s="1"/>
  <c r="N69" i="4"/>
  <c r="K69" i="4"/>
  <c r="Q68" i="4"/>
  <c r="U68" i="4" s="1"/>
  <c r="N68" i="4"/>
  <c r="K68" i="4"/>
  <c r="U67" i="4"/>
  <c r="U66" i="4"/>
  <c r="H102" i="4"/>
  <c r="H103" i="4" s="1"/>
  <c r="H63" i="4"/>
  <c r="H62" i="4"/>
  <c r="N109" i="4" l="1"/>
  <c r="K109" i="4"/>
  <c r="H104" i="4"/>
  <c r="D36" i="5"/>
  <c r="U108" i="4" l="1"/>
  <c r="U47" i="4"/>
  <c r="B47" i="4"/>
  <c r="E16" i="1"/>
  <c r="E12" i="1"/>
  <c r="D32" i="5"/>
  <c r="C14" i="5" l="1"/>
  <c r="E14" i="5" s="1"/>
  <c r="G14" i="5" s="1"/>
  <c r="C13" i="5"/>
  <c r="E13" i="5" s="1"/>
  <c r="G13" i="5" s="1"/>
  <c r="C12" i="5"/>
  <c r="E12" i="5" s="1"/>
  <c r="G12" i="5" s="1"/>
  <c r="C11" i="5"/>
  <c r="E11" i="5" s="1"/>
  <c r="G11" i="5" s="1"/>
  <c r="C10" i="5"/>
  <c r="E10" i="5" s="1"/>
  <c r="G10" i="5" s="1"/>
  <c r="H21" i="1" l="1"/>
  <c r="H20" i="1"/>
  <c r="H17" i="1"/>
  <c r="H16" i="1"/>
  <c r="H13" i="1"/>
  <c r="H12" i="1"/>
  <c r="H9" i="1"/>
  <c r="H8" i="1"/>
  <c r="Q63" i="4" l="1"/>
  <c r="U63" i="4"/>
  <c r="N50" i="4"/>
  <c r="U89" i="4" l="1"/>
  <c r="Q89" i="4"/>
  <c r="N89" i="4"/>
  <c r="K89" i="4"/>
  <c r="H89" i="4"/>
  <c r="B89" i="4"/>
  <c r="U79" i="4"/>
  <c r="Q79" i="4"/>
  <c r="N79" i="4"/>
  <c r="K79" i="4"/>
  <c r="H79" i="4"/>
  <c r="B79" i="4"/>
  <c r="U45" i="4"/>
  <c r="Q45" i="4"/>
  <c r="N45" i="4"/>
  <c r="K45" i="4"/>
  <c r="H45" i="4"/>
  <c r="H47" i="4" s="1"/>
  <c r="B45" i="4"/>
  <c r="U34" i="4"/>
  <c r="Q34" i="4"/>
  <c r="N34" i="4"/>
  <c r="K34" i="4"/>
  <c r="H34" i="4"/>
  <c r="B34" i="4"/>
  <c r="K63" i="4"/>
  <c r="K104" i="4" s="1"/>
  <c r="U102" i="4" s="1"/>
  <c r="Q62" i="4"/>
  <c r="N62" i="4"/>
  <c r="K62" i="4"/>
  <c r="K102" i="4" s="1"/>
  <c r="E62" i="4"/>
  <c r="K57" i="4"/>
  <c r="U57" i="4" s="1"/>
  <c r="H57" i="4"/>
  <c r="Q56" i="4"/>
  <c r="N56" i="4"/>
  <c r="K56" i="4"/>
  <c r="K97" i="4" s="1"/>
  <c r="H56" i="4"/>
  <c r="H97" i="4" s="1"/>
  <c r="E56" i="4"/>
  <c r="Q51" i="4"/>
  <c r="N51" i="4"/>
  <c r="K51" i="4"/>
  <c r="H51" i="4"/>
  <c r="Q50" i="4"/>
  <c r="Q92" i="4" s="1"/>
  <c r="N92" i="4"/>
  <c r="K50" i="4"/>
  <c r="K92" i="4" s="1"/>
  <c r="H50" i="4"/>
  <c r="H92" i="4" s="1"/>
  <c r="E50" i="4"/>
  <c r="Q40" i="4"/>
  <c r="Q83" i="4" s="1"/>
  <c r="N40" i="4"/>
  <c r="N83" i="4" s="1"/>
  <c r="K40" i="4"/>
  <c r="K83" i="4" s="1"/>
  <c r="H40" i="4"/>
  <c r="H83" i="4" s="1"/>
  <c r="E40" i="4"/>
  <c r="E42" i="4" s="1"/>
  <c r="B40" i="4"/>
  <c r="B83" i="4" s="1"/>
  <c r="Q30" i="4"/>
  <c r="Q74" i="4" s="1"/>
  <c r="N30" i="4"/>
  <c r="N74" i="4" s="1"/>
  <c r="K30" i="4"/>
  <c r="K74" i="4" s="1"/>
  <c r="H30" i="4"/>
  <c r="H74" i="4" s="1"/>
  <c r="B30" i="4"/>
  <c r="B74" i="4" s="1"/>
  <c r="K42" i="4" l="1"/>
  <c r="K86" i="4" s="1"/>
  <c r="K32" i="4"/>
  <c r="K77" i="4" s="1"/>
  <c r="H42" i="4"/>
  <c r="H86" i="4" s="1"/>
  <c r="Q94" i="4"/>
  <c r="N94" i="4"/>
  <c r="K99" i="4"/>
  <c r="H94" i="4"/>
  <c r="K94" i="4"/>
  <c r="N32" i="4"/>
  <c r="B32" i="4"/>
  <c r="Q32" i="4"/>
  <c r="B42" i="4"/>
  <c r="N42" i="4"/>
  <c r="H32" i="4"/>
  <c r="Q42" i="4"/>
  <c r="K35" i="4"/>
  <c r="K80" i="4" s="1"/>
  <c r="U94" i="4" l="1"/>
  <c r="U35" i="4"/>
  <c r="H77" i="4"/>
  <c r="H35" i="4"/>
  <c r="Q77" i="4"/>
  <c r="Q35" i="4"/>
  <c r="K43" i="4"/>
  <c r="B77" i="4"/>
  <c r="B35" i="4"/>
  <c r="B86" i="4"/>
  <c r="Q86" i="4"/>
  <c r="N86" i="4"/>
  <c r="N77" i="4"/>
  <c r="N35" i="4"/>
  <c r="N43" i="4" s="1"/>
  <c r="Q80" i="4" l="1"/>
  <c r="U43" i="4"/>
  <c r="U80" i="4"/>
  <c r="N80" i="4"/>
  <c r="B80" i="4"/>
  <c r="B43" i="4"/>
  <c r="N87" i="4"/>
  <c r="N46" i="4"/>
  <c r="U46" i="4"/>
  <c r="H80" i="4"/>
  <c r="H43" i="4"/>
  <c r="Q43" i="4"/>
  <c r="K87" i="4"/>
  <c r="K46" i="4"/>
  <c r="U87" i="4" l="1"/>
  <c r="U90" i="4" s="1"/>
  <c r="B87" i="4"/>
  <c r="K90" i="4"/>
  <c r="B46" i="4"/>
  <c r="H87" i="4"/>
  <c r="H46" i="4"/>
  <c r="Q87" i="4"/>
  <c r="Q46" i="4"/>
  <c r="N90" i="4"/>
  <c r="B90" i="4" l="1"/>
  <c r="Q90" i="4"/>
  <c r="H90" i="4"/>
  <c r="C9" i="5" l="1"/>
  <c r="E9" i="5" s="1"/>
  <c r="G9" i="5" s="1"/>
  <c r="H3" i="2" l="1"/>
  <c r="O26" i="5"/>
  <c r="K26" i="5"/>
  <c r="I26" i="5"/>
  <c r="O24" i="5"/>
  <c r="K24" i="5"/>
  <c r="I24" i="5"/>
  <c r="C8" i="5"/>
  <c r="E8" i="5" s="1"/>
  <c r="G8" i="5" s="1"/>
  <c r="C7" i="5"/>
  <c r="E7" i="5" s="1"/>
  <c r="G7" i="5" s="1"/>
  <c r="C6" i="5"/>
  <c r="E6" i="5" s="1"/>
  <c r="G6" i="5" s="1"/>
  <c r="C5" i="5"/>
  <c r="E5" i="5" s="1"/>
  <c r="G5" i="5" s="1"/>
  <c r="C4" i="5"/>
  <c r="E4" i="5" s="1"/>
  <c r="G4" i="5" s="1"/>
  <c r="C3" i="5"/>
  <c r="E3" i="5" s="1"/>
  <c r="G3" i="5" s="1"/>
  <c r="L26" i="5" l="1"/>
  <c r="M26" i="5" s="1"/>
  <c r="Y26" i="5" s="1"/>
  <c r="AA24" i="5" s="1"/>
  <c r="L24" i="5"/>
  <c r="M24" i="5" s="1"/>
  <c r="Y24" i="5" s="1"/>
  <c r="R24" i="5"/>
  <c r="T24" i="5" s="1"/>
  <c r="U24" i="5" s="1"/>
  <c r="R26" i="5"/>
  <c r="T26" i="5" s="1"/>
  <c r="U26" i="5" s="1"/>
  <c r="Z26" i="5" l="1"/>
  <c r="AB24" i="5" s="1"/>
  <c r="AC24" i="5"/>
  <c r="AE24" i="5" s="1"/>
  <c r="Z24" i="5"/>
  <c r="E31" i="1"/>
  <c r="E32" i="1"/>
  <c r="E33" i="1"/>
  <c r="E34" i="1"/>
  <c r="E35" i="1"/>
  <c r="E36" i="1"/>
  <c r="E37" i="1"/>
  <c r="E38" i="1"/>
  <c r="E30" i="1"/>
  <c r="AD24" i="5" l="1"/>
  <c r="AF24" i="5" s="1"/>
  <c r="F3" i="4"/>
  <c r="F18" i="4" s="1"/>
  <c r="F2" i="4" l="1"/>
  <c r="L3" i="4"/>
  <c r="F5" i="4" l="1"/>
  <c r="L5" i="4"/>
  <c r="L4" i="4"/>
  <c r="F4" i="4"/>
  <c r="L2" i="4"/>
  <c r="F2" i="3" l="1"/>
  <c r="D16" i="2" l="1"/>
  <c r="D15" i="2"/>
  <c r="D14" i="2"/>
  <c r="D13" i="2"/>
  <c r="D12" i="2"/>
  <c r="D11" i="2"/>
  <c r="D10" i="2"/>
  <c r="D9" i="2"/>
  <c r="D6" i="2"/>
  <c r="E19" i="2" s="1"/>
  <c r="D3" i="2"/>
  <c r="J3" i="2" s="1"/>
  <c r="AC12" i="5" s="1"/>
  <c r="AG24" i="5" s="1"/>
  <c r="D30" i="5" l="1"/>
  <c r="D34" i="5" s="1"/>
  <c r="J4" i="2"/>
  <c r="L3" i="2"/>
  <c r="D2" i="3"/>
  <c r="L4" i="2" l="1"/>
  <c r="AD12" i="5"/>
  <c r="AH24" i="5" s="1"/>
  <c r="G30" i="5" s="1"/>
  <c r="N4" i="4"/>
  <c r="E13" i="1"/>
  <c r="G4" i="4" s="1"/>
  <c r="E17" i="1"/>
  <c r="G5" i="4" s="1"/>
  <c r="E20" i="1"/>
  <c r="N2" i="4" s="1"/>
  <c r="L16" i="4" s="1"/>
  <c r="E21" i="1"/>
  <c r="G2" i="4" s="1"/>
  <c r="E24" i="1"/>
  <c r="N3" i="4" s="1"/>
  <c r="E27" i="1"/>
  <c r="E9" i="1"/>
  <c r="E8" i="1"/>
  <c r="H2" i="4" l="1"/>
  <c r="M2" i="4" s="1"/>
  <c r="F17" i="4"/>
  <c r="H4" i="4"/>
  <c r="M4" i="4" s="1"/>
  <c r="O4" i="4" s="1"/>
  <c r="F19" i="4"/>
  <c r="H5" i="4"/>
  <c r="M5" i="4" s="1"/>
  <c r="F20" i="4"/>
  <c r="O3" i="4"/>
  <c r="L17" i="4"/>
  <c r="O2" i="4"/>
  <c r="N5" i="4"/>
  <c r="O5" i="4" s="1"/>
  <c r="G2" i="1"/>
</calcChain>
</file>

<file path=xl/sharedStrings.xml><?xml version="1.0" encoding="utf-8"?>
<sst xmlns="http://schemas.openxmlformats.org/spreadsheetml/2006/main" count="508" uniqueCount="269">
  <si>
    <t>Vial label</t>
  </si>
  <si>
    <t>Empty mass</t>
  </si>
  <si>
    <t>Mass wth sample</t>
  </si>
  <si>
    <t>Mass of sample</t>
  </si>
  <si>
    <t>Concentration of solid (calculated from prep data 2 spreadsheet)</t>
  </si>
  <si>
    <t>Equiv mass of solid</t>
  </si>
  <si>
    <t>Radiotracers &amp; Target radionuclides</t>
  </si>
  <si>
    <t>Strontium</t>
  </si>
  <si>
    <t>Database no.</t>
  </si>
  <si>
    <t>Activity conc of source (Bq/g)</t>
  </si>
  <si>
    <t>Sr-90 Target</t>
  </si>
  <si>
    <t>RAM 1595</t>
  </si>
  <si>
    <t>Sr-85 Tracer</t>
  </si>
  <si>
    <t>RAM 1591</t>
  </si>
  <si>
    <t>Uranium</t>
  </si>
  <si>
    <t>U-238 Target</t>
  </si>
  <si>
    <t>Depleted U ICPMS dilute</t>
  </si>
  <si>
    <t>U-236 Tracer</t>
  </si>
  <si>
    <t>RAM 1593</t>
  </si>
  <si>
    <t>Thorium</t>
  </si>
  <si>
    <t>Th-232 Target</t>
  </si>
  <si>
    <t>Th ICPMS Std 1000 ppm</t>
  </si>
  <si>
    <t>Th-229 Tracer</t>
  </si>
  <si>
    <t>RAM 1459</t>
  </si>
  <si>
    <t>Plutonium</t>
  </si>
  <si>
    <t>Pu-239 Target</t>
  </si>
  <si>
    <t>RAM 1579 Dilute</t>
  </si>
  <si>
    <t>Pu-242 Tracer</t>
  </si>
  <si>
    <t>RAM 1584</t>
  </si>
  <si>
    <t>Np</t>
  </si>
  <si>
    <t>Np-237 contaminant</t>
  </si>
  <si>
    <t>RAM 219</t>
  </si>
  <si>
    <t xml:space="preserve">Pb </t>
  </si>
  <si>
    <t>Pb-210 contaminant</t>
  </si>
  <si>
    <t>RAM 324</t>
  </si>
  <si>
    <t>Mixed Gamma source</t>
  </si>
  <si>
    <t>RAM 1297</t>
  </si>
  <si>
    <t>Am-241</t>
  </si>
  <si>
    <t>Cd-109</t>
  </si>
  <si>
    <t>Co-57</t>
  </si>
  <si>
    <t>Ce-139</t>
  </si>
  <si>
    <t>Sn-113</t>
  </si>
  <si>
    <t>Cs-137</t>
  </si>
  <si>
    <t>Mn-54</t>
  </si>
  <si>
    <t>Zn-65</t>
  </si>
  <si>
    <t>Co-60</t>
  </si>
  <si>
    <t>Mass added (g)</t>
  </si>
  <si>
    <t>Activity in sample (Bq)</t>
  </si>
  <si>
    <t>Activity measured in gamma</t>
  </si>
  <si>
    <t xml:space="preserve">Empty mass </t>
  </si>
  <si>
    <t>Mass with sample</t>
  </si>
  <si>
    <t>Height corrected</t>
  </si>
  <si>
    <t>Correction factor =</t>
  </si>
  <si>
    <t>Mass with NaNO2</t>
  </si>
  <si>
    <t>Total mass</t>
  </si>
  <si>
    <t>Name of fraction</t>
  </si>
  <si>
    <t>Time counted</t>
  </si>
  <si>
    <t>Tracer measured counts</t>
  </si>
  <si>
    <t>Tracer Bkgd counts</t>
  </si>
  <si>
    <t>Counting efficiency (%)</t>
  </si>
  <si>
    <t xml:space="preserve">Activity of tracer measured </t>
  </si>
  <si>
    <t>Activity added</t>
  </si>
  <si>
    <t>Recovery %</t>
  </si>
  <si>
    <t>Target counts</t>
  </si>
  <si>
    <t>Target bkgd counts</t>
  </si>
  <si>
    <t>Activity of target measured</t>
  </si>
  <si>
    <t>Target activity corrected by tracer recovery</t>
  </si>
  <si>
    <t>Activity of target added</t>
  </si>
  <si>
    <t>overall recovery</t>
  </si>
  <si>
    <t>-</t>
  </si>
  <si>
    <t>C6 Pu</t>
  </si>
  <si>
    <t>C6 Np</t>
  </si>
  <si>
    <t>C6 U</t>
  </si>
  <si>
    <t>C6 Th</t>
  </si>
  <si>
    <t>Date</t>
  </si>
  <si>
    <t>Counts per min</t>
  </si>
  <si>
    <t>Activity (bq)</t>
  </si>
  <si>
    <t>Counter efficiency corrected</t>
  </si>
  <si>
    <t>Quench corrected</t>
  </si>
  <si>
    <t>s</t>
  </si>
  <si>
    <t>Sr 85 recovery</t>
  </si>
  <si>
    <t>σ</t>
  </si>
  <si>
    <t>QT1 factor</t>
  </si>
  <si>
    <t>Label</t>
  </si>
  <si>
    <t>CPM1</t>
  </si>
  <si>
    <t>Counts1</t>
  </si>
  <si>
    <t>CPM1 %</t>
  </si>
  <si>
    <t>Total counts</t>
  </si>
  <si>
    <t>Live time (mins)</t>
  </si>
  <si>
    <t>CPM</t>
  </si>
  <si>
    <t>Bq</t>
  </si>
  <si>
    <t>σtotal counts</t>
  </si>
  <si>
    <t>σCPM</t>
  </si>
  <si>
    <t>σBq</t>
  </si>
  <si>
    <t xml:space="preserve">Quantalus </t>
  </si>
  <si>
    <t>Count efficiency</t>
  </si>
  <si>
    <t>σ efficiency</t>
  </si>
  <si>
    <t>Efficiency corr activity (bq)</t>
  </si>
  <si>
    <t>σ efficiency corr activity</t>
  </si>
  <si>
    <t>Blk activity</t>
  </si>
  <si>
    <r>
      <rPr>
        <sz val="11"/>
        <color theme="1"/>
        <rFont val="Calibri"/>
        <family val="2"/>
      </rPr>
      <t>σ</t>
    </r>
    <r>
      <rPr>
        <sz val="9.9"/>
        <color theme="1"/>
        <rFont val="Calibri"/>
        <family val="2"/>
      </rPr>
      <t xml:space="preserve"> blk activity</t>
    </r>
  </si>
  <si>
    <t>Blk corrected</t>
  </si>
  <si>
    <r>
      <rPr>
        <sz val="11"/>
        <color theme="1"/>
        <rFont val="Calibri"/>
        <family val="2"/>
      </rPr>
      <t>σ</t>
    </r>
    <r>
      <rPr>
        <sz val="9.9"/>
        <color theme="1"/>
        <rFont val="Calibri"/>
        <family val="2"/>
      </rPr>
      <t xml:space="preserve"> blk corrected</t>
    </r>
  </si>
  <si>
    <t>QT1 corrected</t>
  </si>
  <si>
    <r>
      <rPr>
        <sz val="11"/>
        <color theme="1"/>
        <rFont val="Calibri"/>
        <family val="2"/>
        <scheme val="minor"/>
      </rPr>
      <t>σ</t>
    </r>
    <r>
      <rPr>
        <sz val="9.9"/>
        <color theme="1"/>
        <rFont val="Calibri"/>
        <family val="2"/>
        <scheme val="minor"/>
      </rPr>
      <t xml:space="preserve"> QT1 corrected</t>
    </r>
  </si>
  <si>
    <t>Sr-85 corrected</t>
  </si>
  <si>
    <r>
      <rPr>
        <sz val="11"/>
        <color theme="1"/>
        <rFont val="Calibri"/>
        <family val="2"/>
      </rPr>
      <t>σ</t>
    </r>
    <r>
      <rPr>
        <sz val="9.9"/>
        <color theme="1"/>
        <rFont val="Calibri"/>
        <family val="2"/>
      </rPr>
      <t xml:space="preserve"> Sr 85 corrected</t>
    </r>
  </si>
  <si>
    <t>Blk</t>
  </si>
  <si>
    <t>Fully corrected activity =</t>
  </si>
  <si>
    <t xml:space="preserve">+/- </t>
  </si>
  <si>
    <t>σ of activity conc</t>
  </si>
  <si>
    <t>σ of mass added</t>
  </si>
  <si>
    <t>σ of activity in sample</t>
  </si>
  <si>
    <t>Sr-90 activity conc calculated from SrT Test</t>
  </si>
  <si>
    <t>Radiotracers &amp; Target radionuclides post sep</t>
  </si>
  <si>
    <t>Uncertainty (bq)</t>
  </si>
  <si>
    <t xml:space="preserve">Recovery </t>
  </si>
  <si>
    <t xml:space="preserve">Uncertainty </t>
  </si>
  <si>
    <t>+/-</t>
  </si>
  <si>
    <t>Height of sample measured (mm) =</t>
  </si>
  <si>
    <t>σcounts1</t>
  </si>
  <si>
    <t>RAM 1611</t>
  </si>
  <si>
    <t>C13D</t>
  </si>
  <si>
    <t>C13HP</t>
  </si>
  <si>
    <t>disposal to drain</t>
  </si>
  <si>
    <t>Pu 239</t>
  </si>
  <si>
    <t>Pu 242</t>
  </si>
  <si>
    <t>Np 237</t>
  </si>
  <si>
    <t>U236</t>
  </si>
  <si>
    <t>Th 229</t>
  </si>
  <si>
    <t>Pu fraction</t>
  </si>
  <si>
    <t>Np fraction</t>
  </si>
  <si>
    <t>Th fraction</t>
  </si>
  <si>
    <t>UF1 fraction</t>
  </si>
  <si>
    <t>UF2 fraction</t>
  </si>
  <si>
    <t>UF3 fraction</t>
  </si>
  <si>
    <t>Total U activity</t>
  </si>
  <si>
    <t>Detector #</t>
  </si>
  <si>
    <t xml:space="preserve">Time counted </t>
  </si>
  <si>
    <t>Counter efficiency</t>
  </si>
  <si>
    <t>Pu-242 tracer counts</t>
  </si>
  <si>
    <t>Th-229 tracer counts</t>
  </si>
  <si>
    <t>U-236 tracer counts</t>
  </si>
  <si>
    <t>Corrected counts</t>
  </si>
  <si>
    <t>Pu-242 measured</t>
  </si>
  <si>
    <t>Th-229 measured</t>
  </si>
  <si>
    <t>U-236 measured</t>
  </si>
  <si>
    <t>Total U-236 activity</t>
  </si>
  <si>
    <t>Tracer activity added</t>
  </si>
  <si>
    <t>Overall tracer recovery</t>
  </si>
  <si>
    <t>Pu-239 target counts</t>
  </si>
  <si>
    <t>Np-237 target counts</t>
  </si>
  <si>
    <t>Th-232 target counts</t>
  </si>
  <si>
    <t>U-238 target counts</t>
  </si>
  <si>
    <t>Activity of Pu-239 measured</t>
  </si>
  <si>
    <t>Activity of Np-237 measured</t>
  </si>
  <si>
    <t>Activity of Th-232 measured</t>
  </si>
  <si>
    <t>Activity of U-238 measured</t>
  </si>
  <si>
    <t>Total U-238 activity</t>
  </si>
  <si>
    <t>Target Pu-239 tracer corrected</t>
  </si>
  <si>
    <t>Target Th-232 tracer corrected</t>
  </si>
  <si>
    <t>Target U-238 tracer corrected</t>
  </si>
  <si>
    <t>Target activity tracer corrected</t>
  </si>
  <si>
    <t>Overall recovery</t>
  </si>
  <si>
    <t>Overall target recovery</t>
  </si>
  <si>
    <t>U-236 counts</t>
  </si>
  <si>
    <t>U-234 counts</t>
  </si>
  <si>
    <t xml:space="preserve">U-236 bkgd counts </t>
  </si>
  <si>
    <t xml:space="preserve">U-234 bkgd counts </t>
  </si>
  <si>
    <t>U-236 activity</t>
  </si>
  <si>
    <t>U-234 activity</t>
  </si>
  <si>
    <t>Total U-234 activity</t>
  </si>
  <si>
    <t>U-238 counts</t>
  </si>
  <si>
    <t>Th-229 counts</t>
  </si>
  <si>
    <t>np</t>
  </si>
  <si>
    <t>U-238 bkgd counts</t>
  </si>
  <si>
    <t xml:space="preserve">Th-229 bkgd counts </t>
  </si>
  <si>
    <t>U-238 activity</t>
  </si>
  <si>
    <t>Th-229 activity</t>
  </si>
  <si>
    <t>Total Th-229 activity</t>
  </si>
  <si>
    <t>Pu-239 counts</t>
  </si>
  <si>
    <t>Th-232 counts</t>
  </si>
  <si>
    <t>Pu-239 bkgd counts</t>
  </si>
  <si>
    <t>Th-232 bkgd counts</t>
  </si>
  <si>
    <t>Pu-239 activity</t>
  </si>
  <si>
    <t>Th-232 activity</t>
  </si>
  <si>
    <t>Total Th-232 activity</t>
  </si>
  <si>
    <t>Time counted σ</t>
  </si>
  <si>
    <t>Counter efficiency σ</t>
  </si>
  <si>
    <t>Pu-242 corrected counts σ</t>
  </si>
  <si>
    <t>Th-229 tracer counts σ</t>
  </si>
  <si>
    <t>U-236 corrected counts σ</t>
  </si>
  <si>
    <t>Pu-242 measured σ</t>
  </si>
  <si>
    <t>Th-229 measured σ</t>
  </si>
  <si>
    <t>U-236 measured σ</t>
  </si>
  <si>
    <t>Total U-236 activity σ</t>
  </si>
  <si>
    <t>Tracer activity added σ</t>
  </si>
  <si>
    <t>Recovery  σ</t>
  </si>
  <si>
    <t>Recovery σ</t>
  </si>
  <si>
    <t>Overall tracer recovery σ</t>
  </si>
  <si>
    <t>Pu-239 corrected counts σ</t>
  </si>
  <si>
    <t>Th-232 corrected counts σ</t>
  </si>
  <si>
    <t>U-238 corrected counts σ</t>
  </si>
  <si>
    <t>Activity of Pu-239 measured σ</t>
  </si>
  <si>
    <t>Activity of Th-232 measured σ</t>
  </si>
  <si>
    <t>Activity of U-238 measured σ</t>
  </si>
  <si>
    <t>Total U-238 activity σ</t>
  </si>
  <si>
    <t>Target Pu-239 tracer corrected σ</t>
  </si>
  <si>
    <t>Target Th-232 tracer corrected σ</t>
  </si>
  <si>
    <t>Target U-238 tracer corrected σ</t>
  </si>
  <si>
    <t>Target activity tracer corrected σ</t>
  </si>
  <si>
    <t>Activity of target added σ</t>
  </si>
  <si>
    <t>Overall recovery σ</t>
  </si>
  <si>
    <t>Overall target recovery σ</t>
  </si>
  <si>
    <t>U-236 corrcted counts σ</t>
  </si>
  <si>
    <t>U-234 corrected counts σ</t>
  </si>
  <si>
    <t>U-236 activity σ</t>
  </si>
  <si>
    <t>U-234 activity σ</t>
  </si>
  <si>
    <t>Th-229 corrected counts σ</t>
  </si>
  <si>
    <t>U-238 activity σ</t>
  </si>
  <si>
    <t>Th-229 activity σ</t>
  </si>
  <si>
    <t>Th-232 activity σ</t>
  </si>
  <si>
    <t>C13 SrF</t>
  </si>
  <si>
    <t>sr-90 added =</t>
  </si>
  <si>
    <t>recovery</t>
  </si>
  <si>
    <t>th-232 activity conc of sample (Bq/g)</t>
  </si>
  <si>
    <t>u-238 activity conc of sample (Bq/g)</t>
  </si>
  <si>
    <t>recovery without tracer correction</t>
  </si>
  <si>
    <t>recovery before sr -85 corr</t>
  </si>
  <si>
    <t>Po-210 counts</t>
  </si>
  <si>
    <t>Po-210 bkgd counts</t>
  </si>
  <si>
    <t>Po-210 activity</t>
  </si>
  <si>
    <t>Po-210 counts σ</t>
  </si>
  <si>
    <t>Po-210 bkgd counts σ</t>
  </si>
  <si>
    <t>Po-210 activity σ</t>
  </si>
  <si>
    <t>Po-210 bkgd corr counts</t>
  </si>
  <si>
    <t>Total Po-210 activity</t>
  </si>
  <si>
    <t>Po-210 added</t>
  </si>
  <si>
    <t>Am-241 counts</t>
  </si>
  <si>
    <t>Am-241 bkgd counts</t>
  </si>
  <si>
    <t>Am-241 activity</t>
  </si>
  <si>
    <t>Am-241 counts σ</t>
  </si>
  <si>
    <t>Am-241 bkgd counts σ</t>
  </si>
  <si>
    <t>Am-241 activity σ</t>
  </si>
  <si>
    <t>1-e^-lamtda t</t>
  </si>
  <si>
    <t>lambda y90</t>
  </si>
  <si>
    <t>U in digest (ppb)</t>
  </si>
  <si>
    <t>Mass of sample used</t>
  </si>
  <si>
    <t>U from digest (ug)</t>
  </si>
  <si>
    <t xml:space="preserve">Moles U from digest </t>
  </si>
  <si>
    <t xml:space="preserve">Atoms u from digest </t>
  </si>
  <si>
    <t>U from digest (bq)</t>
  </si>
  <si>
    <t>U234 from digest (bq)</t>
  </si>
  <si>
    <t>U in spike</t>
  </si>
  <si>
    <t>Mass spike used</t>
  </si>
  <si>
    <t>U from spike (bq)</t>
  </si>
  <si>
    <t>234U from spike (bq)</t>
  </si>
  <si>
    <t>u234 total</t>
  </si>
  <si>
    <t>u238 total</t>
  </si>
  <si>
    <t>sample 234/238</t>
  </si>
  <si>
    <t>t1/2 u238 years =</t>
  </si>
  <si>
    <t>T1/2 U 238 in secs =</t>
  </si>
  <si>
    <t>a=la*n</t>
  </si>
  <si>
    <t>lambda u 238</t>
  </si>
  <si>
    <t>avogadros =</t>
  </si>
  <si>
    <t>activtiy</t>
  </si>
  <si>
    <t>spike 234/238</t>
  </si>
  <si>
    <t>activity</t>
  </si>
  <si>
    <r>
      <t>2</t>
    </r>
    <r>
      <rPr>
        <sz val="11"/>
        <color theme="1"/>
        <rFont val="Calibri"/>
        <family val="2"/>
      </rPr>
      <t>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</si>
</sst>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9.9"/>
      <color theme="1"/>
      <name val="Calibri"/>
      <family val="2"/>
    </font>
    <font>
      <sz val="9.9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3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0" xfId="0" applyBorder="1" applyAlignment="1"/>
    <xf numFmtId="0" fontId="0" fillId="0" borderId="10" xfId="0" applyBorder="1"/>
    <xf numFmtId="0" fontId="0" fillId="0" borderId="0" xfId="0" applyBorder="1"/>
    <xf numFmtId="164" fontId="0" fillId="0" borderId="3" xfId="0" applyNumberFormat="1" applyBorder="1"/>
    <xf numFmtId="0" fontId="0" fillId="0" borderId="2" xfId="0" applyBorder="1" applyAlignment="1"/>
    <xf numFmtId="0" fontId="0" fillId="0" borderId="11" xfId="0" applyBorder="1"/>
    <xf numFmtId="14" fontId="0" fillId="0" borderId="2" xfId="0" applyNumberFormat="1" applyBorder="1"/>
    <xf numFmtId="0" fontId="1" fillId="0" borderId="0" xfId="0" applyFont="1"/>
    <xf numFmtId="0" fontId="0" fillId="0" borderId="12" xfId="0" applyBorder="1"/>
    <xf numFmtId="0" fontId="0" fillId="0" borderId="13" xfId="0" applyBorder="1"/>
    <xf numFmtId="0" fontId="1" fillId="0" borderId="13" xfId="0" applyFont="1" applyBorder="1"/>
    <xf numFmtId="0" fontId="0" fillId="0" borderId="14" xfId="0" applyBorder="1"/>
    <xf numFmtId="0" fontId="1" fillId="0" borderId="9" xfId="0" applyFont="1" applyFill="1" applyBorder="1"/>
    <xf numFmtId="0" fontId="0" fillId="0" borderId="0" xfId="0" applyFont="1" applyFill="1" applyBorder="1"/>
    <xf numFmtId="14" fontId="0" fillId="0" borderId="0" xfId="0" applyNumberFormat="1"/>
    <xf numFmtId="0" fontId="0" fillId="0" borderId="0" xfId="0" applyNumberFormat="1"/>
    <xf numFmtId="0" fontId="0" fillId="0" borderId="0" xfId="0" quotePrefix="1"/>
    <xf numFmtId="0" fontId="0" fillId="0" borderId="7" xfId="0" applyFill="1" applyBorder="1"/>
    <xf numFmtId="0" fontId="5" fillId="2" borderId="2" xfId="1" applyFont="1" applyBorder="1"/>
    <xf numFmtId="0" fontId="1" fillId="0" borderId="0" xfId="0" applyFont="1" applyBorder="1" applyAlignment="1"/>
    <xf numFmtId="0" fontId="0" fillId="3" borderId="0" xfId="0" applyFill="1"/>
    <xf numFmtId="0" fontId="0" fillId="4" borderId="2" xfId="0" applyFill="1" applyBorder="1"/>
    <xf numFmtId="0" fontId="0" fillId="5" borderId="2" xfId="0" applyFill="1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Y-90 Ingrowth</a:t>
            </a:r>
            <a:r>
              <a:rPr lang="en-GB" baseline="0"/>
              <a:t> curve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'Sr-90 cherenkov'!$A$3:$A$8</c:f>
              <c:numCache>
                <c:formatCode>m/d/yyyy</c:formatCode>
                <c:ptCount val="6"/>
                <c:pt idx="0">
                  <c:v>44323</c:v>
                </c:pt>
                <c:pt idx="1">
                  <c:v>44326</c:v>
                </c:pt>
                <c:pt idx="2">
                  <c:v>44328</c:v>
                </c:pt>
                <c:pt idx="3">
                  <c:v>44331</c:v>
                </c:pt>
                <c:pt idx="4">
                  <c:v>44333</c:v>
                </c:pt>
                <c:pt idx="5">
                  <c:v>44334</c:v>
                </c:pt>
              </c:numCache>
            </c:numRef>
          </c:xVal>
          <c:yVal>
            <c:numRef>
              <c:f>'Sr-90 cherenkov'!$C$3:$C$8</c:f>
              <c:numCache>
                <c:formatCode>General</c:formatCode>
                <c:ptCount val="6"/>
                <c:pt idx="0">
                  <c:v>2.5420000000000003</c:v>
                </c:pt>
                <c:pt idx="1">
                  <c:v>3.9916666666666667</c:v>
                </c:pt>
                <c:pt idx="2">
                  <c:v>4.6231666666666662</c:v>
                </c:pt>
                <c:pt idx="3">
                  <c:v>4.9543333333333335</c:v>
                </c:pt>
                <c:pt idx="4">
                  <c:v>5.2326666666666659</c:v>
                </c:pt>
                <c:pt idx="5">
                  <c:v>5.1590000000000007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83-4D9B-A4B5-9A6D297C9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436536"/>
        <c:axId val="302440800"/>
      </c:scatterChart>
      <c:valAx>
        <c:axId val="302436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40800"/>
        <c:crosses val="autoZero"/>
        <c:crossBetween val="midCat"/>
      </c:valAx>
      <c:valAx>
        <c:axId val="30244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36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Y-90 Ingrowth</a:t>
            </a:r>
            <a:r>
              <a:rPr lang="en-GB" baseline="0"/>
              <a:t> curve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'Sr-90 cherenkov'!$L$3:$L$14</c:f>
              <c:numCache>
                <c:formatCode>General</c:formatCode>
                <c:ptCount val="12"/>
                <c:pt idx="0">
                  <c:v>0.46789484636570333</c:v>
                </c:pt>
                <c:pt idx="1">
                  <c:v>0.7412670672766164</c:v>
                </c:pt>
                <c:pt idx="2">
                  <c:v>0.84541185968812815</c:v>
                </c:pt>
                <c:pt idx="3">
                  <c:v>0.91339535381370662</c:v>
                </c:pt>
                <c:pt idx="4">
                  <c:v>0.95450677042858811</c:v>
                </c:pt>
                <c:pt idx="5">
                  <c:v>0.96483513137257559</c:v>
                </c:pt>
                <c:pt idx="6">
                  <c:v>0.97281863703162819</c:v>
                </c:pt>
                <c:pt idx="7">
                  <c:v>0.97898964160377433</c:v>
                </c:pt>
                <c:pt idx="8">
                  <c:v>0.98375963852690163</c:v>
                </c:pt>
                <c:pt idx="9">
                  <c:v>0.98744669958489251</c:v>
                </c:pt>
                <c:pt idx="10">
                  <c:v>0.98744669958489251</c:v>
                </c:pt>
                <c:pt idx="11">
                  <c:v>0.99249963525894691</c:v>
                </c:pt>
              </c:numCache>
            </c:numRef>
          </c:xVal>
          <c:yVal>
            <c:numRef>
              <c:f>'Sr-90 cherenkov'!$B$3:$B$14</c:f>
              <c:numCache>
                <c:formatCode>General</c:formatCode>
                <c:ptCount val="12"/>
                <c:pt idx="0">
                  <c:v>152.52000000000001</c:v>
                </c:pt>
                <c:pt idx="1">
                  <c:v>239.5</c:v>
                </c:pt>
                <c:pt idx="2">
                  <c:v>277.39</c:v>
                </c:pt>
                <c:pt idx="3">
                  <c:v>297.26</c:v>
                </c:pt>
                <c:pt idx="4">
                  <c:v>313.95999999999998</c:v>
                </c:pt>
                <c:pt idx="5">
                  <c:v>309.54000000000002</c:v>
                </c:pt>
                <c:pt idx="6">
                  <c:v>315.85000000000002</c:v>
                </c:pt>
                <c:pt idx="7">
                  <c:v>316.36</c:v>
                </c:pt>
                <c:pt idx="8">
                  <c:v>319.13</c:v>
                </c:pt>
                <c:pt idx="9">
                  <c:v>322.7</c:v>
                </c:pt>
                <c:pt idx="10">
                  <c:v>315.82</c:v>
                </c:pt>
                <c:pt idx="11">
                  <c:v>320.07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3A-49D3-813D-826EC5DCB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436536"/>
        <c:axId val="302440800"/>
      </c:scatterChart>
      <c:valAx>
        <c:axId val="302436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40800"/>
        <c:crosses val="autoZero"/>
        <c:crossBetween val="midCat"/>
      </c:valAx>
      <c:valAx>
        <c:axId val="30244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36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464606</xdr:colOff>
      <xdr:row>0</xdr:row>
      <xdr:rowOff>177800</xdr:rowOff>
    </xdr:from>
    <xdr:to>
      <xdr:col>25</xdr:col>
      <xdr:colOff>877358</xdr:colOff>
      <xdr:row>17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243415</xdr:colOff>
      <xdr:row>1</xdr:row>
      <xdr:rowOff>95250</xdr:rowOff>
    </xdr:from>
    <xdr:to>
      <xdr:col>20</xdr:col>
      <xdr:colOff>201083</xdr:colOff>
      <xdr:row>17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>
      <selection activeCell="C16" sqref="C16"/>
    </sheetView>
  </sheetViews>
  <sheetFormatPr defaultRowHeight="15" x14ac:dyDescent="0.25"/>
  <cols>
    <col min="1" max="2" width="22.5703125" customWidth="1"/>
    <col min="3" max="3" width="27.28515625" bestFit="1" customWidth="1"/>
    <col min="4" max="4" width="14.7109375" bestFit="1" customWidth="1"/>
    <col min="5" max="5" width="21.140625" bestFit="1" customWidth="1"/>
    <col min="6" max="7" width="22.5703125" customWidth="1"/>
    <col min="8" max="8" width="20.5703125" bestFit="1" customWidth="1"/>
    <col min="11" max="11" width="39.140625" bestFit="1" customWidth="1"/>
  </cols>
  <sheetData>
    <row r="1" spans="1:11" ht="45" x14ac:dyDescent="0.25">
      <c r="A1" s="7" t="s">
        <v>0</v>
      </c>
      <c r="B1" s="7" t="s">
        <v>1</v>
      </c>
      <c r="C1" s="7" t="s">
        <v>2</v>
      </c>
      <c r="D1" s="7" t="s">
        <v>3</v>
      </c>
      <c r="E1" s="7"/>
      <c r="F1" s="8" t="s">
        <v>4</v>
      </c>
      <c r="G1" s="8" t="s">
        <v>5</v>
      </c>
    </row>
    <row r="2" spans="1:11" x14ac:dyDescent="0.25">
      <c r="A2" s="1" t="s">
        <v>122</v>
      </c>
      <c r="B2" s="1">
        <v>13.2707</v>
      </c>
      <c r="C2" s="1">
        <v>50.412599999999998</v>
      </c>
      <c r="D2" s="1">
        <v>47.682000000000002</v>
      </c>
      <c r="E2" s="1"/>
      <c r="F2" s="1">
        <v>1.0524709568472667E-2</v>
      </c>
      <c r="G2" s="1">
        <f>F2*D2</f>
        <v>0.50183920164391371</v>
      </c>
    </row>
    <row r="6" spans="1:11" x14ac:dyDescent="0.25">
      <c r="A6" s="34" t="s">
        <v>6</v>
      </c>
      <c r="B6" s="34"/>
      <c r="C6" s="34"/>
      <c r="D6" s="34"/>
      <c r="E6" s="34"/>
      <c r="F6" s="11"/>
    </row>
    <row r="7" spans="1:11" x14ac:dyDescent="0.25">
      <c r="A7" s="1" t="s">
        <v>7</v>
      </c>
      <c r="B7" s="1" t="s">
        <v>8</v>
      </c>
      <c r="C7" s="1" t="s">
        <v>9</v>
      </c>
      <c r="D7" s="1" t="s">
        <v>46</v>
      </c>
      <c r="E7" s="3" t="s">
        <v>47</v>
      </c>
      <c r="F7" s="10" t="s">
        <v>110</v>
      </c>
      <c r="G7" t="s">
        <v>111</v>
      </c>
      <c r="H7" t="s">
        <v>112</v>
      </c>
    </row>
    <row r="8" spans="1:11" x14ac:dyDescent="0.25">
      <c r="A8" s="1" t="s">
        <v>10</v>
      </c>
      <c r="B8" s="1" t="s">
        <v>11</v>
      </c>
      <c r="C8" s="1">
        <v>98.017781754903325</v>
      </c>
      <c r="D8" s="1">
        <v>0.1016</v>
      </c>
      <c r="E8" s="3">
        <f>D8*C8</f>
        <v>9.9586066262981774</v>
      </c>
      <c r="F8" s="10">
        <v>0.50757413615343261</v>
      </c>
      <c r="G8">
        <v>1E-4</v>
      </c>
      <c r="H8">
        <f>E8*(SQRT(((F8/C8)^2)+((G8/D8)^2)))</f>
        <v>5.2492775790116228E-2</v>
      </c>
      <c r="K8" t="s">
        <v>113</v>
      </c>
    </row>
    <row r="9" spans="1:11" x14ac:dyDescent="0.25">
      <c r="A9" s="2" t="s">
        <v>12</v>
      </c>
      <c r="B9" s="2" t="s">
        <v>121</v>
      </c>
      <c r="C9" s="2">
        <v>198.1</v>
      </c>
      <c r="D9" s="2">
        <v>5.1200000000000002E-2</v>
      </c>
      <c r="E9" s="9">
        <f>D9*C9</f>
        <v>10.142720000000001</v>
      </c>
      <c r="F9" s="10">
        <v>0.1</v>
      </c>
      <c r="G9">
        <v>1E-4</v>
      </c>
      <c r="H9">
        <f>E9*(SQRT(((F9/C9)^2)+((G9/D9)^2)))</f>
        <v>2.0460950613302407E-2</v>
      </c>
    </row>
    <row r="10" spans="1:11" x14ac:dyDescent="0.25">
      <c r="A10" s="3"/>
      <c r="B10" s="4"/>
      <c r="C10" s="4"/>
      <c r="D10" s="4"/>
      <c r="E10" s="9"/>
      <c r="F10" s="10"/>
    </row>
    <row r="11" spans="1:11" x14ac:dyDescent="0.25">
      <c r="A11" s="5" t="s">
        <v>14</v>
      </c>
      <c r="B11" s="5"/>
      <c r="C11" s="5"/>
      <c r="D11" s="5"/>
      <c r="E11" s="9"/>
      <c r="F11" s="10"/>
    </row>
    <row r="12" spans="1:11" x14ac:dyDescent="0.25">
      <c r="A12" s="1" t="s">
        <v>15</v>
      </c>
      <c r="B12" s="1" t="s">
        <v>16</v>
      </c>
      <c r="C12" s="1">
        <v>0.61007112693764465</v>
      </c>
      <c r="D12" s="1">
        <v>8.5099999999999995E-2</v>
      </c>
      <c r="E12" s="9">
        <f>(D12*C12)+(L24*D2)</f>
        <v>6.370729036642353E-2</v>
      </c>
      <c r="F12" s="10">
        <v>2.4697145922778895E-2</v>
      </c>
      <c r="G12">
        <v>1E-4</v>
      </c>
      <c r="H12">
        <f t="shared" ref="H12:H17" si="0">E12*(SQRT(((F12/C12)^2)+((G12/D12)^2)))</f>
        <v>2.5801105573220475E-3</v>
      </c>
    </row>
    <row r="13" spans="1:11" x14ac:dyDescent="0.25">
      <c r="A13" s="2" t="s">
        <v>17</v>
      </c>
      <c r="B13" s="2" t="s">
        <v>18</v>
      </c>
      <c r="C13" s="2">
        <v>9.937E-2</v>
      </c>
      <c r="D13" s="2">
        <v>0.54900000000000004</v>
      </c>
      <c r="E13" s="9">
        <f t="shared" ref="E13:E27" si="1">D13*C13</f>
        <v>5.4554130000000006E-2</v>
      </c>
      <c r="F13" s="10">
        <v>1.0000000000000001E-5</v>
      </c>
      <c r="G13">
        <v>1E-4</v>
      </c>
      <c r="H13">
        <f t="shared" si="0"/>
        <v>1.1352711966750501E-5</v>
      </c>
    </row>
    <row r="14" spans="1:11" x14ac:dyDescent="0.25">
      <c r="A14" s="3"/>
      <c r="B14" s="4"/>
      <c r="C14" s="4"/>
      <c r="D14" s="4"/>
      <c r="E14" s="9"/>
      <c r="F14" s="10"/>
      <c r="G14">
        <v>1E-4</v>
      </c>
    </row>
    <row r="15" spans="1:11" x14ac:dyDescent="0.25">
      <c r="A15" s="5" t="s">
        <v>19</v>
      </c>
      <c r="B15" s="5"/>
      <c r="C15" s="5"/>
      <c r="D15" s="5"/>
      <c r="E15" s="9"/>
      <c r="F15" s="10"/>
      <c r="G15">
        <v>1E-4</v>
      </c>
    </row>
    <row r="16" spans="1:11" x14ac:dyDescent="0.25">
      <c r="A16" s="1" t="s">
        <v>20</v>
      </c>
      <c r="B16" s="1" t="s">
        <v>21</v>
      </c>
      <c r="C16" s="1">
        <v>4.0759999999999996</v>
      </c>
      <c r="D16" s="1">
        <v>1.2500000000000001E-2</v>
      </c>
      <c r="E16" s="9">
        <f>(D16*C16)+(L23*D2)</f>
        <v>6.4565093308969174E-2</v>
      </c>
      <c r="F16" s="10">
        <v>0.17489552275233264</v>
      </c>
      <c r="G16">
        <v>1E-4</v>
      </c>
      <c r="H16">
        <f t="shared" si="0"/>
        <v>2.8181383065390133E-3</v>
      </c>
    </row>
    <row r="17" spans="1:12" x14ac:dyDescent="0.25">
      <c r="A17" s="2" t="s">
        <v>22</v>
      </c>
      <c r="B17" s="2" t="s">
        <v>23</v>
      </c>
      <c r="C17" s="2">
        <v>0.85609999999999997</v>
      </c>
      <c r="D17" s="2">
        <v>6.2600000000000003E-2</v>
      </c>
      <c r="E17" s="9">
        <f t="shared" si="1"/>
        <v>5.3591859999999998E-2</v>
      </c>
      <c r="F17" s="10">
        <v>1E-4</v>
      </c>
      <c r="G17">
        <v>1E-4</v>
      </c>
      <c r="H17">
        <f t="shared" si="0"/>
        <v>8.5838567672113445E-5</v>
      </c>
    </row>
    <row r="18" spans="1:12" x14ac:dyDescent="0.25">
      <c r="A18" s="3"/>
      <c r="B18" s="4"/>
      <c r="C18" s="4"/>
      <c r="D18" s="4"/>
      <c r="E18" s="9"/>
      <c r="F18" s="10"/>
      <c r="G18">
        <v>1E-4</v>
      </c>
    </row>
    <row r="19" spans="1:12" x14ac:dyDescent="0.25">
      <c r="A19" s="5" t="s">
        <v>24</v>
      </c>
      <c r="B19" s="5"/>
      <c r="C19" s="5"/>
      <c r="D19" s="5"/>
      <c r="E19" s="9"/>
      <c r="F19" s="10"/>
      <c r="G19">
        <v>1E-4</v>
      </c>
    </row>
    <row r="20" spans="1:12" x14ac:dyDescent="0.25">
      <c r="A20" s="1" t="s">
        <v>25</v>
      </c>
      <c r="B20" s="1" t="s">
        <v>26</v>
      </c>
      <c r="C20" s="1">
        <v>0.51880000000000004</v>
      </c>
      <c r="D20" s="1">
        <v>9.9500000000000005E-2</v>
      </c>
      <c r="E20" s="9">
        <f t="shared" si="1"/>
        <v>5.162060000000001E-2</v>
      </c>
      <c r="F20" s="10">
        <v>1.0060250109004265E-2</v>
      </c>
      <c r="G20">
        <v>1E-4</v>
      </c>
      <c r="H20">
        <f>E20*(SQRT(((F20/C20)^2)+((G20/D20)^2)))</f>
        <v>1.0023384138551686E-3</v>
      </c>
    </row>
    <row r="21" spans="1:12" x14ac:dyDescent="0.25">
      <c r="A21" s="2" t="s">
        <v>27</v>
      </c>
      <c r="B21" s="2" t="s">
        <v>28</v>
      </c>
      <c r="C21" s="2">
        <v>0.9859</v>
      </c>
      <c r="D21" s="2">
        <v>5.4899999999999997E-2</v>
      </c>
      <c r="E21" s="9">
        <f t="shared" si="1"/>
        <v>5.4125909999999999E-2</v>
      </c>
      <c r="F21" s="10">
        <v>1E-4</v>
      </c>
      <c r="G21">
        <v>1E-4</v>
      </c>
      <c r="H21">
        <f>E21*(SQRT(((F21/C21)^2)+((G21/D21)^2)))</f>
        <v>9.8742737454457903E-5</v>
      </c>
    </row>
    <row r="22" spans="1:12" x14ac:dyDescent="0.25">
      <c r="A22" s="3"/>
      <c r="B22" s="4"/>
      <c r="C22" s="4"/>
      <c r="D22" s="4"/>
      <c r="E22" s="9"/>
      <c r="F22" s="10"/>
    </row>
    <row r="23" spans="1:12" x14ac:dyDescent="0.25">
      <c r="A23" s="5" t="s">
        <v>29</v>
      </c>
      <c r="B23" s="5"/>
      <c r="C23" s="5"/>
      <c r="D23" s="5"/>
      <c r="E23" s="9"/>
      <c r="F23" s="10"/>
      <c r="K23" t="s">
        <v>225</v>
      </c>
      <c r="L23">
        <v>2.8553947630068316E-4</v>
      </c>
    </row>
    <row r="24" spans="1:12" x14ac:dyDescent="0.25">
      <c r="A24" s="2" t="s">
        <v>30</v>
      </c>
      <c r="B24" s="2" t="s">
        <v>31</v>
      </c>
      <c r="C24" s="2">
        <v>4.5999999999999996</v>
      </c>
      <c r="D24" s="14"/>
      <c r="E24" s="9">
        <f t="shared" si="1"/>
        <v>0</v>
      </c>
      <c r="F24" s="10"/>
      <c r="K24" t="s">
        <v>226</v>
      </c>
      <c r="L24">
        <v>2.4726809831865219E-4</v>
      </c>
    </row>
    <row r="25" spans="1:12" x14ac:dyDescent="0.25">
      <c r="A25" s="3"/>
      <c r="B25" s="4"/>
      <c r="C25" s="4"/>
      <c r="D25" s="4"/>
      <c r="E25" s="9"/>
      <c r="F25" s="10"/>
    </row>
    <row r="26" spans="1:12" x14ac:dyDescent="0.25">
      <c r="A26" s="5" t="s">
        <v>32</v>
      </c>
      <c r="B26" s="5"/>
      <c r="C26" s="5"/>
      <c r="D26" s="5"/>
      <c r="E26" s="9"/>
      <c r="F26" s="10"/>
    </row>
    <row r="27" spans="1:12" x14ac:dyDescent="0.25">
      <c r="A27" s="2" t="s">
        <v>33</v>
      </c>
      <c r="B27" s="2" t="s">
        <v>34</v>
      </c>
      <c r="C27" s="2">
        <v>463</v>
      </c>
      <c r="D27" s="2">
        <v>2.0799999999999999E-2</v>
      </c>
      <c r="E27" s="9">
        <f t="shared" si="1"/>
        <v>9.6303999999999998</v>
      </c>
      <c r="F27" s="10"/>
    </row>
    <row r="28" spans="1:12" x14ac:dyDescent="0.25">
      <c r="A28" s="3"/>
      <c r="B28" s="4"/>
      <c r="C28" s="4"/>
      <c r="D28" s="4"/>
      <c r="E28" s="4"/>
      <c r="F28" s="10"/>
    </row>
    <row r="29" spans="1:12" x14ac:dyDescent="0.25">
      <c r="A29" s="6" t="s">
        <v>35</v>
      </c>
      <c r="B29" s="6" t="s">
        <v>36</v>
      </c>
      <c r="C29" s="6"/>
      <c r="D29" s="6">
        <v>0.1071</v>
      </c>
      <c r="E29" s="10"/>
      <c r="F29" s="10"/>
    </row>
    <row r="30" spans="1:12" x14ac:dyDescent="0.25">
      <c r="A30" s="6" t="s">
        <v>37</v>
      </c>
      <c r="B30" s="6"/>
      <c r="C30" s="6">
        <v>81.239999999999995</v>
      </c>
      <c r="D30" s="6"/>
      <c r="E30" s="10">
        <f>D$29*C30</f>
        <v>8.7008039999999998</v>
      </c>
      <c r="F30" s="10"/>
    </row>
    <row r="31" spans="1:12" x14ac:dyDescent="0.25">
      <c r="A31" s="6" t="s">
        <v>38</v>
      </c>
      <c r="B31" s="6"/>
      <c r="C31" s="6">
        <v>27.47</v>
      </c>
      <c r="D31" s="6"/>
      <c r="E31" s="10">
        <f t="shared" ref="E31:E38" si="2">D$29*C31</f>
        <v>2.942037</v>
      </c>
      <c r="F31" s="10"/>
    </row>
    <row r="32" spans="1:12" x14ac:dyDescent="0.25">
      <c r="A32" s="6" t="s">
        <v>39</v>
      </c>
      <c r="B32" s="6"/>
      <c r="C32" s="6">
        <v>0.25480000000000003</v>
      </c>
      <c r="D32" s="6"/>
      <c r="E32" s="10">
        <f t="shared" si="2"/>
        <v>2.7289080000000004E-2</v>
      </c>
      <c r="F32" s="10"/>
    </row>
    <row r="33" spans="1:6" x14ac:dyDescent="0.25">
      <c r="A33" s="6" t="s">
        <v>40</v>
      </c>
      <c r="B33" s="6"/>
      <c r="C33" s="6">
        <v>1.39E-3</v>
      </c>
      <c r="D33" s="6"/>
      <c r="E33" s="10">
        <f t="shared" si="2"/>
        <v>1.4886899999999999E-4</v>
      </c>
      <c r="F33" s="10"/>
    </row>
    <row r="34" spans="1:6" x14ac:dyDescent="0.25">
      <c r="A34" s="6" t="s">
        <v>41</v>
      </c>
      <c r="B34" s="6"/>
      <c r="C34" s="6">
        <v>7.6499999999999995E-4</v>
      </c>
      <c r="D34" s="6"/>
      <c r="E34" s="10">
        <f t="shared" si="2"/>
        <v>8.1931499999999993E-5</v>
      </c>
      <c r="F34" s="10"/>
    </row>
    <row r="35" spans="1:6" x14ac:dyDescent="0.25">
      <c r="A35" s="6" t="s">
        <v>42</v>
      </c>
      <c r="B35" s="6"/>
      <c r="C35" s="6">
        <v>76.47</v>
      </c>
      <c r="D35" s="6"/>
      <c r="E35" s="10">
        <f t="shared" si="2"/>
        <v>8.1899370000000005</v>
      </c>
      <c r="F35" s="10"/>
    </row>
    <row r="36" spans="1:6" x14ac:dyDescent="0.25">
      <c r="A36" s="6" t="s">
        <v>43</v>
      </c>
      <c r="B36" s="6"/>
      <c r="C36" s="6">
        <v>1.1950000000000001</v>
      </c>
      <c r="D36" s="6"/>
      <c r="E36" s="10">
        <f t="shared" si="2"/>
        <v>0.1279845</v>
      </c>
      <c r="F36" s="10"/>
    </row>
    <row r="37" spans="1:6" x14ac:dyDescent="0.25">
      <c r="A37" s="6" t="s">
        <v>44</v>
      </c>
      <c r="B37" s="6"/>
      <c r="C37" s="6">
        <v>0.91620000000000001</v>
      </c>
      <c r="D37" s="6"/>
      <c r="E37" s="10">
        <f t="shared" si="2"/>
        <v>9.8125020000000007E-2</v>
      </c>
      <c r="F37" s="10"/>
    </row>
    <row r="38" spans="1:6" x14ac:dyDescent="0.25">
      <c r="A38" s="5" t="s">
        <v>45</v>
      </c>
      <c r="B38" s="5"/>
      <c r="C38" s="5">
        <v>49.69</v>
      </c>
      <c r="D38" s="5"/>
      <c r="E38" s="5">
        <f t="shared" si="2"/>
        <v>5.3217989999999995</v>
      </c>
      <c r="F38" s="10"/>
    </row>
  </sheetData>
  <mergeCells count="1">
    <mergeCell ref="A6:E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E9" sqref="E9"/>
    </sheetView>
  </sheetViews>
  <sheetFormatPr defaultRowHeight="15" x14ac:dyDescent="0.25"/>
  <cols>
    <col min="1" max="1" width="20.28515625" bestFit="1" customWidth="1"/>
    <col min="2" max="2" width="23.140625" bestFit="1" customWidth="1"/>
    <col min="3" max="3" width="27.28515625" bestFit="1" customWidth="1"/>
    <col min="4" max="4" width="15.85546875" bestFit="1" customWidth="1"/>
    <col min="5" max="5" width="27.28515625" bestFit="1" customWidth="1"/>
    <col min="7" max="7" width="11.85546875" bestFit="1" customWidth="1"/>
    <col min="8" max="8" width="15.85546875" bestFit="1" customWidth="1"/>
    <col min="9" max="9" width="15.5703125" bestFit="1" customWidth="1"/>
    <col min="10" max="10" width="12" bestFit="1" customWidth="1"/>
  </cols>
  <sheetData>
    <row r="1" spans="1:12" x14ac:dyDescent="0.25">
      <c r="A1" s="35" t="s">
        <v>6</v>
      </c>
      <c r="B1" s="36"/>
      <c r="C1" s="36"/>
      <c r="D1" s="15"/>
      <c r="E1" s="30" t="s">
        <v>81</v>
      </c>
      <c r="G1" s="37" t="s">
        <v>114</v>
      </c>
      <c r="H1" s="37"/>
      <c r="I1" s="37"/>
      <c r="J1" s="37"/>
    </row>
    <row r="2" spans="1:12" x14ac:dyDescent="0.25">
      <c r="A2" s="1" t="s">
        <v>7</v>
      </c>
      <c r="B2" s="1" t="s">
        <v>8</v>
      </c>
      <c r="C2" s="3" t="s">
        <v>48</v>
      </c>
      <c r="D2" s="1" t="s">
        <v>51</v>
      </c>
      <c r="E2" s="13"/>
      <c r="G2" s="1" t="s">
        <v>76</v>
      </c>
      <c r="H2" s="1" t="s">
        <v>51</v>
      </c>
      <c r="I2" s="1" t="s">
        <v>115</v>
      </c>
      <c r="J2" s="1" t="s">
        <v>116</v>
      </c>
      <c r="L2" t="s">
        <v>117</v>
      </c>
    </row>
    <row r="3" spans="1:12" x14ac:dyDescent="0.25">
      <c r="A3" s="2" t="s">
        <v>12</v>
      </c>
      <c r="B3" s="2" t="s">
        <v>13</v>
      </c>
      <c r="C3" s="9">
        <v>9.89</v>
      </c>
      <c r="D3" s="1">
        <f>C3*G$9</f>
        <v>10.087800000000001</v>
      </c>
      <c r="E3" s="13"/>
      <c r="G3" s="1">
        <v>8.74</v>
      </c>
      <c r="H3" s="1">
        <f>G3*1.02</f>
        <v>8.9147999999999996</v>
      </c>
      <c r="I3" s="1">
        <v>0.59</v>
      </c>
      <c r="J3" s="1">
        <f>H3/D3</f>
        <v>0.88372093023255793</v>
      </c>
      <c r="K3" s="27" t="s">
        <v>118</v>
      </c>
      <c r="L3">
        <f>J3*(SQRT(((I3/H3)^2)+((E3/D3)^2)))</f>
        <v>5.8486488629830073E-2</v>
      </c>
    </row>
    <row r="4" spans="1:12" x14ac:dyDescent="0.25">
      <c r="A4" s="1"/>
      <c r="B4" s="1"/>
      <c r="C4" s="1"/>
      <c r="D4" s="16"/>
      <c r="E4" s="13"/>
      <c r="J4">
        <f>J3*100</f>
        <v>88.372093023255786</v>
      </c>
      <c r="K4" s="27" t="s">
        <v>118</v>
      </c>
      <c r="L4">
        <f>L3*100</f>
        <v>5.8486488629830076</v>
      </c>
    </row>
    <row r="5" spans="1:12" x14ac:dyDescent="0.25">
      <c r="A5" s="5" t="s">
        <v>32</v>
      </c>
      <c r="B5" s="5"/>
      <c r="C5" s="12"/>
      <c r="D5" s="1"/>
      <c r="E5" s="13"/>
    </row>
    <row r="6" spans="1:12" x14ac:dyDescent="0.25">
      <c r="A6" s="2" t="s">
        <v>33</v>
      </c>
      <c r="B6" s="2" t="s">
        <v>34</v>
      </c>
      <c r="C6" s="9">
        <v>12.5</v>
      </c>
      <c r="D6" s="1">
        <f>C6*G$9</f>
        <v>12.75</v>
      </c>
      <c r="E6" s="13">
        <v>2.1</v>
      </c>
    </row>
    <row r="7" spans="1:12" x14ac:dyDescent="0.25">
      <c r="A7" s="3"/>
      <c r="B7" s="4"/>
      <c r="C7" s="4"/>
      <c r="D7" s="16"/>
      <c r="F7" s="13" t="s">
        <v>119</v>
      </c>
      <c r="G7">
        <v>44</v>
      </c>
    </row>
    <row r="8" spans="1:12" x14ac:dyDescent="0.25">
      <c r="A8" s="6" t="s">
        <v>35</v>
      </c>
      <c r="B8" s="6" t="s">
        <v>36</v>
      </c>
      <c r="C8" s="10"/>
      <c r="D8" s="1"/>
      <c r="F8" s="13"/>
    </row>
    <row r="9" spans="1:12" x14ac:dyDescent="0.25">
      <c r="A9" s="6" t="s">
        <v>37</v>
      </c>
      <c r="B9" s="6"/>
      <c r="C9" s="10">
        <v>8.5500000000000007</v>
      </c>
      <c r="D9" s="1">
        <f t="shared" ref="D9:D16" si="0">C9*G$9</f>
        <v>8.7210000000000001</v>
      </c>
      <c r="E9">
        <v>0.56999999999999995</v>
      </c>
      <c r="F9" s="13" t="s">
        <v>52</v>
      </c>
      <c r="G9">
        <v>1.02</v>
      </c>
    </row>
    <row r="10" spans="1:12" x14ac:dyDescent="0.25">
      <c r="A10" s="6" t="s">
        <v>38</v>
      </c>
      <c r="B10" s="6"/>
      <c r="C10" s="10">
        <v>3.14</v>
      </c>
      <c r="D10" s="1">
        <f t="shared" si="0"/>
        <v>3.2028000000000003</v>
      </c>
      <c r="E10" s="13"/>
    </row>
    <row r="11" spans="1:12" x14ac:dyDescent="0.25">
      <c r="A11" s="6" t="s">
        <v>39</v>
      </c>
      <c r="B11" s="6"/>
      <c r="C11" s="10">
        <v>0</v>
      </c>
      <c r="D11" s="1">
        <f t="shared" si="0"/>
        <v>0</v>
      </c>
      <c r="E11" s="13"/>
    </row>
    <row r="12" spans="1:12" x14ac:dyDescent="0.25">
      <c r="A12" s="6" t="s">
        <v>40</v>
      </c>
      <c r="B12" s="6"/>
      <c r="C12" s="10">
        <v>0</v>
      </c>
      <c r="D12" s="1">
        <f t="shared" si="0"/>
        <v>0</v>
      </c>
      <c r="E12" s="13"/>
    </row>
    <row r="13" spans="1:12" x14ac:dyDescent="0.25">
      <c r="A13" s="6" t="s">
        <v>41</v>
      </c>
      <c r="B13" s="6"/>
      <c r="C13" s="10">
        <v>0</v>
      </c>
      <c r="D13" s="1">
        <f t="shared" si="0"/>
        <v>0</v>
      </c>
      <c r="E13" s="13"/>
    </row>
    <row r="14" spans="1:12" x14ac:dyDescent="0.25">
      <c r="A14" s="6" t="s">
        <v>42</v>
      </c>
      <c r="B14" s="6"/>
      <c r="C14" s="10">
        <v>8.35</v>
      </c>
      <c r="D14" s="1">
        <f t="shared" si="0"/>
        <v>8.5169999999999995</v>
      </c>
      <c r="E14" s="13"/>
    </row>
    <row r="15" spans="1:12" x14ac:dyDescent="0.25">
      <c r="A15" s="6" t="s">
        <v>43</v>
      </c>
      <c r="B15" s="6"/>
      <c r="C15" s="10">
        <v>1.24</v>
      </c>
      <c r="D15" s="1">
        <f t="shared" si="0"/>
        <v>1.2647999999999999</v>
      </c>
      <c r="E15" s="13"/>
    </row>
    <row r="16" spans="1:12" x14ac:dyDescent="0.25">
      <c r="A16" s="5" t="s">
        <v>45</v>
      </c>
      <c r="B16" s="5"/>
      <c r="C16" s="12">
        <v>5.49</v>
      </c>
      <c r="D16" s="1">
        <f t="shared" si="0"/>
        <v>5.5998000000000001</v>
      </c>
      <c r="E16" s="13"/>
    </row>
    <row r="19" spans="1:5" x14ac:dyDescent="0.25">
      <c r="A19" t="s">
        <v>237</v>
      </c>
      <c r="D19">
        <v>12.97938476922884</v>
      </c>
      <c r="E19">
        <f>D19*SQRT((E6/D6)^2)</f>
        <v>2.1377810208141619</v>
      </c>
    </row>
  </sheetData>
  <mergeCells count="2">
    <mergeCell ref="A1:C1"/>
    <mergeCell ref="G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6"/>
  <sheetViews>
    <sheetView zoomScale="90" zoomScaleNormal="90" workbookViewId="0">
      <selection activeCell="S31" sqref="S31"/>
    </sheetView>
  </sheetViews>
  <sheetFormatPr defaultRowHeight="15" x14ac:dyDescent="0.25"/>
  <cols>
    <col min="1" max="1" width="12" bestFit="1" customWidth="1"/>
    <col min="2" max="2" width="14.5703125" bestFit="1" customWidth="1"/>
    <col min="3" max="3" width="24.7109375" bestFit="1" customWidth="1"/>
    <col min="4" max="4" width="9.7109375" bestFit="1" customWidth="1"/>
    <col min="5" max="5" width="26.7109375" bestFit="1" customWidth="1"/>
    <col min="7" max="7" width="19.42578125" bestFit="1" customWidth="1"/>
    <col min="9" max="9" width="11.7109375" bestFit="1" customWidth="1"/>
    <col min="11" max="11" width="17.28515625" bestFit="1" customWidth="1"/>
    <col min="18" max="18" width="12.5703125" bestFit="1" customWidth="1"/>
    <col min="23" max="23" width="15.5703125" bestFit="1" customWidth="1"/>
    <col min="24" max="24" width="11.28515625" bestFit="1" customWidth="1"/>
    <col min="25" max="25" width="24.85546875" bestFit="1" customWidth="1"/>
    <col min="26" max="26" width="22.42578125" bestFit="1" customWidth="1"/>
    <col min="27" max="27" width="12.28515625" bestFit="1" customWidth="1"/>
    <col min="28" max="28" width="13.28515625" bestFit="1" customWidth="1"/>
    <col min="29" max="29" width="14.85546875" bestFit="1" customWidth="1"/>
    <col min="30" max="30" width="13.85546875" bestFit="1" customWidth="1"/>
    <col min="31" max="31" width="16.85546875" bestFit="1" customWidth="1"/>
    <col min="32" max="32" width="14.28515625" bestFit="1" customWidth="1"/>
    <col min="33" max="33" width="17" bestFit="1" customWidth="1"/>
    <col min="34" max="34" width="15.28515625" bestFit="1" customWidth="1"/>
  </cols>
  <sheetData>
    <row r="1" spans="1:30" x14ac:dyDescent="0.25">
      <c r="A1" s="1" t="s">
        <v>74</v>
      </c>
      <c r="B1" s="1" t="s">
        <v>75</v>
      </c>
      <c r="C1" s="1" t="s">
        <v>76</v>
      </c>
      <c r="D1" s="1"/>
      <c r="E1" s="1" t="s">
        <v>77</v>
      </c>
      <c r="F1" s="1"/>
      <c r="G1" s="1" t="s">
        <v>78</v>
      </c>
      <c r="I1" t="s">
        <v>79</v>
      </c>
      <c r="L1" t="s">
        <v>244</v>
      </c>
      <c r="O1" t="s">
        <v>245</v>
      </c>
      <c r="P1">
        <f>LN(2)/(64.6*60*60)</f>
        <v>2.9805090323355066E-6</v>
      </c>
    </row>
    <row r="2" spans="1:30" x14ac:dyDescent="0.25">
      <c r="A2" s="17">
        <v>44321</v>
      </c>
      <c r="B2" s="1"/>
      <c r="C2" s="1">
        <v>0</v>
      </c>
      <c r="D2" s="1"/>
      <c r="E2" s="1"/>
      <c r="F2" s="1"/>
      <c r="G2" s="1"/>
      <c r="H2">
        <f t="shared" ref="H2:H14" si="0">A2-A$3</f>
        <v>-2</v>
      </c>
      <c r="I2">
        <f>J2*24*60*60</f>
        <v>0</v>
      </c>
      <c r="J2" s="31">
        <f>H2+2</f>
        <v>0</v>
      </c>
      <c r="K2">
        <f>I2-I$2</f>
        <v>0</v>
      </c>
    </row>
    <row r="3" spans="1:30" x14ac:dyDescent="0.25">
      <c r="A3" s="17">
        <v>44323</v>
      </c>
      <c r="B3" s="1">
        <v>152.52000000000001</v>
      </c>
      <c r="C3" s="1">
        <f t="shared" ref="C3:C14" si="1">B3/60</f>
        <v>2.5420000000000003</v>
      </c>
      <c r="D3" s="1"/>
      <c r="E3" s="1">
        <f t="shared" ref="E3:E14" si="2">C3/0.729</f>
        <v>3.4869684499314135</v>
      </c>
      <c r="F3" s="1"/>
      <c r="G3" s="1">
        <f t="shared" ref="G3:G14" si="3">E3/0.9</f>
        <v>3.8744093888126816</v>
      </c>
      <c r="H3">
        <v>0.45</v>
      </c>
      <c r="I3">
        <f t="shared" ref="I3:I14" si="4">J3*24*60*60</f>
        <v>211680.00000000003</v>
      </c>
      <c r="J3" s="31">
        <f>H3+2</f>
        <v>2.4500000000000002</v>
      </c>
      <c r="K3">
        <f t="shared" ref="K3:K9" si="5">I3-I$2</f>
        <v>211680.00000000003</v>
      </c>
      <c r="L3">
        <f>1-EXP(-P$1*K3)</f>
        <v>0.46789484636570333</v>
      </c>
    </row>
    <row r="4" spans="1:30" x14ac:dyDescent="0.25">
      <c r="A4" s="17">
        <v>44326</v>
      </c>
      <c r="B4" s="1">
        <v>239.5</v>
      </c>
      <c r="C4" s="1">
        <f t="shared" si="1"/>
        <v>3.9916666666666667</v>
      </c>
      <c r="D4" s="1"/>
      <c r="E4" s="1">
        <f t="shared" si="2"/>
        <v>5.4755372656607229</v>
      </c>
      <c r="F4" s="1"/>
      <c r="G4" s="1">
        <f t="shared" si="3"/>
        <v>6.0839302951785807</v>
      </c>
      <c r="H4">
        <v>3.25</v>
      </c>
      <c r="I4">
        <f t="shared" si="4"/>
        <v>453600</v>
      </c>
      <c r="J4" s="31">
        <f t="shared" ref="J4:J14" si="6">H4+2</f>
        <v>5.25</v>
      </c>
      <c r="K4">
        <f t="shared" si="5"/>
        <v>453600</v>
      </c>
      <c r="L4">
        <f t="shared" ref="L4:L14" si="7">1-EXP(-P$1*K4)</f>
        <v>0.7412670672766164</v>
      </c>
    </row>
    <row r="5" spans="1:30" x14ac:dyDescent="0.25">
      <c r="A5" s="17">
        <v>44328</v>
      </c>
      <c r="B5" s="1">
        <v>277.39</v>
      </c>
      <c r="C5" s="1">
        <f t="shared" si="1"/>
        <v>4.6231666666666662</v>
      </c>
      <c r="D5" s="1"/>
      <c r="E5" s="1">
        <f t="shared" si="2"/>
        <v>6.3417924096936442</v>
      </c>
      <c r="F5" s="1"/>
      <c r="G5" s="1">
        <f t="shared" si="3"/>
        <v>7.0464360107707158</v>
      </c>
      <c r="H5">
        <v>5.25</v>
      </c>
      <c r="I5">
        <f t="shared" si="4"/>
        <v>626400</v>
      </c>
      <c r="J5" s="31">
        <f t="shared" si="6"/>
        <v>7.25</v>
      </c>
      <c r="K5">
        <f t="shared" si="5"/>
        <v>626400</v>
      </c>
      <c r="L5">
        <f t="shared" si="7"/>
        <v>0.84541185968812815</v>
      </c>
    </row>
    <row r="6" spans="1:30" x14ac:dyDescent="0.25">
      <c r="A6" s="17">
        <v>44331</v>
      </c>
      <c r="B6" s="1">
        <v>297.26</v>
      </c>
      <c r="C6" s="1">
        <f t="shared" si="1"/>
        <v>4.9543333333333335</v>
      </c>
      <c r="D6" s="1"/>
      <c r="E6" s="1">
        <f t="shared" si="2"/>
        <v>6.7960676726108833</v>
      </c>
      <c r="F6" s="1"/>
      <c r="G6" s="1">
        <f t="shared" si="3"/>
        <v>7.5511863029009811</v>
      </c>
      <c r="H6">
        <v>7.5</v>
      </c>
      <c r="I6">
        <f t="shared" si="4"/>
        <v>820800</v>
      </c>
      <c r="J6" s="31">
        <f t="shared" si="6"/>
        <v>9.5</v>
      </c>
      <c r="K6">
        <f t="shared" si="5"/>
        <v>820800</v>
      </c>
      <c r="L6">
        <f t="shared" si="7"/>
        <v>0.91339535381370662</v>
      </c>
    </row>
    <row r="7" spans="1:30" x14ac:dyDescent="0.25">
      <c r="A7" s="17">
        <v>44333</v>
      </c>
      <c r="B7" s="1">
        <v>313.95999999999998</v>
      </c>
      <c r="C7" s="1">
        <f t="shared" si="1"/>
        <v>5.2326666666666659</v>
      </c>
      <c r="D7" s="1"/>
      <c r="E7" s="1">
        <f t="shared" si="2"/>
        <v>7.1778692272519429</v>
      </c>
      <c r="F7" s="1"/>
      <c r="G7" s="1">
        <f t="shared" si="3"/>
        <v>7.9754102525021588</v>
      </c>
      <c r="H7">
        <f t="shared" si="0"/>
        <v>10</v>
      </c>
      <c r="I7">
        <f t="shared" si="4"/>
        <v>1036800</v>
      </c>
      <c r="J7" s="31">
        <f t="shared" si="6"/>
        <v>12</v>
      </c>
      <c r="K7">
        <f t="shared" si="5"/>
        <v>1036800</v>
      </c>
      <c r="L7">
        <f t="shared" si="7"/>
        <v>0.95450677042858811</v>
      </c>
    </row>
    <row r="8" spans="1:30" x14ac:dyDescent="0.25">
      <c r="A8" s="17">
        <v>44334</v>
      </c>
      <c r="B8" s="1">
        <v>309.54000000000002</v>
      </c>
      <c r="C8" s="1">
        <f t="shared" si="1"/>
        <v>5.1590000000000007</v>
      </c>
      <c r="D8" s="1"/>
      <c r="E8" s="1">
        <f t="shared" si="2"/>
        <v>7.0768175582990409</v>
      </c>
      <c r="F8" s="1"/>
      <c r="G8" s="1">
        <f t="shared" si="3"/>
        <v>7.8631306203322673</v>
      </c>
      <c r="H8">
        <f t="shared" si="0"/>
        <v>11</v>
      </c>
      <c r="I8">
        <f t="shared" si="4"/>
        <v>1123200</v>
      </c>
      <c r="J8" s="31">
        <f t="shared" si="6"/>
        <v>13</v>
      </c>
      <c r="K8">
        <f t="shared" si="5"/>
        <v>1123200</v>
      </c>
      <c r="L8">
        <f t="shared" si="7"/>
        <v>0.96483513137257559</v>
      </c>
    </row>
    <row r="9" spans="1:30" x14ac:dyDescent="0.25">
      <c r="A9" s="25">
        <v>44335</v>
      </c>
      <c r="B9" s="28">
        <v>315.85000000000002</v>
      </c>
      <c r="C9" s="1">
        <f t="shared" si="1"/>
        <v>5.2641666666666671</v>
      </c>
      <c r="E9" s="1">
        <f t="shared" si="2"/>
        <v>7.2210791037951543</v>
      </c>
      <c r="G9" s="1">
        <f t="shared" si="3"/>
        <v>8.0234212264390603</v>
      </c>
      <c r="H9">
        <f t="shared" si="0"/>
        <v>12</v>
      </c>
      <c r="I9">
        <f t="shared" si="4"/>
        <v>1209600</v>
      </c>
      <c r="J9" s="31">
        <f t="shared" si="6"/>
        <v>14</v>
      </c>
      <c r="K9">
        <f t="shared" si="5"/>
        <v>1209600</v>
      </c>
      <c r="L9">
        <f t="shared" si="7"/>
        <v>0.97281863703162819</v>
      </c>
    </row>
    <row r="10" spans="1:30" x14ac:dyDescent="0.25">
      <c r="A10" s="17">
        <v>44336</v>
      </c>
      <c r="B10" s="1">
        <v>316.36</v>
      </c>
      <c r="C10" s="1">
        <f t="shared" si="1"/>
        <v>5.2726666666666668</v>
      </c>
      <c r="D10" s="1"/>
      <c r="E10" s="1">
        <f t="shared" si="2"/>
        <v>7.2327389117512579</v>
      </c>
      <c r="F10" s="1"/>
      <c r="G10" s="1">
        <f t="shared" si="3"/>
        <v>8.0363765686125088</v>
      </c>
      <c r="H10">
        <f t="shared" si="0"/>
        <v>13</v>
      </c>
      <c r="I10">
        <f t="shared" si="4"/>
        <v>1296000</v>
      </c>
      <c r="J10" s="31">
        <f t="shared" si="6"/>
        <v>15</v>
      </c>
      <c r="K10">
        <f t="shared" ref="K10:K14" si="8">I10+-I$2</f>
        <v>1296000</v>
      </c>
      <c r="L10">
        <f t="shared" si="7"/>
        <v>0.97898964160377433</v>
      </c>
    </row>
    <row r="11" spans="1:30" x14ac:dyDescent="0.25">
      <c r="A11" s="17">
        <v>44337</v>
      </c>
      <c r="B11" s="1">
        <v>319.13</v>
      </c>
      <c r="C11" s="1">
        <f t="shared" si="1"/>
        <v>5.3188333333333331</v>
      </c>
      <c r="D11" s="1"/>
      <c r="E11" s="1">
        <f t="shared" si="2"/>
        <v>7.2960676726108824</v>
      </c>
      <c r="F11" s="1"/>
      <c r="G11" s="1">
        <f t="shared" si="3"/>
        <v>8.1067418584565356</v>
      </c>
      <c r="H11">
        <f t="shared" si="0"/>
        <v>14</v>
      </c>
      <c r="I11">
        <f t="shared" si="4"/>
        <v>1382400</v>
      </c>
      <c r="J11" s="31">
        <f t="shared" si="6"/>
        <v>16</v>
      </c>
      <c r="K11">
        <f t="shared" si="8"/>
        <v>1382400</v>
      </c>
      <c r="L11">
        <f t="shared" si="7"/>
        <v>0.98375963852690163</v>
      </c>
      <c r="AC11" t="s">
        <v>80</v>
      </c>
      <c r="AD11" s="18" t="s">
        <v>81</v>
      </c>
    </row>
    <row r="12" spans="1:30" x14ac:dyDescent="0.25">
      <c r="A12" s="17">
        <v>44338</v>
      </c>
      <c r="B12" s="1">
        <v>322.7</v>
      </c>
      <c r="C12" s="1">
        <f t="shared" si="1"/>
        <v>5.378333333333333</v>
      </c>
      <c r="D12" s="1"/>
      <c r="E12" s="1">
        <f t="shared" si="2"/>
        <v>7.3776863283036116</v>
      </c>
      <c r="F12" s="1"/>
      <c r="G12" s="1">
        <f t="shared" si="3"/>
        <v>8.1974292536706788</v>
      </c>
      <c r="H12">
        <f t="shared" si="0"/>
        <v>15</v>
      </c>
      <c r="I12">
        <f t="shared" si="4"/>
        <v>1468800</v>
      </c>
      <c r="J12" s="31">
        <f t="shared" si="6"/>
        <v>17</v>
      </c>
      <c r="K12">
        <f t="shared" si="8"/>
        <v>1468800</v>
      </c>
      <c r="L12">
        <f t="shared" si="7"/>
        <v>0.98744669958489251</v>
      </c>
      <c r="AC12">
        <f>'C13D gamma data'!J3</f>
        <v>0.88372093023255793</v>
      </c>
      <c r="AD12">
        <f>'C13D gamma data'!L3</f>
        <v>5.8486488629830073E-2</v>
      </c>
    </row>
    <row r="13" spans="1:30" x14ac:dyDescent="0.25">
      <c r="A13" s="17">
        <v>44338</v>
      </c>
      <c r="B13" s="1">
        <v>315.82</v>
      </c>
      <c r="C13" s="1">
        <f t="shared" si="1"/>
        <v>5.2636666666666665</v>
      </c>
      <c r="D13" s="1"/>
      <c r="E13" s="1">
        <f t="shared" si="2"/>
        <v>7.2203932327389113</v>
      </c>
      <c r="F13" s="1"/>
      <c r="G13" s="1">
        <f t="shared" si="3"/>
        <v>8.0226591474876798</v>
      </c>
      <c r="H13">
        <f t="shared" si="0"/>
        <v>15</v>
      </c>
      <c r="I13">
        <f t="shared" si="4"/>
        <v>1468800</v>
      </c>
      <c r="J13" s="31">
        <f t="shared" si="6"/>
        <v>17</v>
      </c>
      <c r="K13">
        <f t="shared" si="8"/>
        <v>1468800</v>
      </c>
      <c r="L13">
        <f t="shared" si="7"/>
        <v>0.98744669958489251</v>
      </c>
    </row>
    <row r="14" spans="1:30" x14ac:dyDescent="0.25">
      <c r="A14" s="17">
        <v>44340</v>
      </c>
      <c r="B14" s="1">
        <v>320.07</v>
      </c>
      <c r="C14" s="1">
        <f t="shared" si="1"/>
        <v>5.3345000000000002</v>
      </c>
      <c r="D14" s="1"/>
      <c r="E14" s="1">
        <f t="shared" si="2"/>
        <v>7.3175582990397814</v>
      </c>
      <c r="F14" s="1"/>
      <c r="G14" s="1">
        <f t="shared" si="3"/>
        <v>8.1306203322664228</v>
      </c>
      <c r="H14">
        <f t="shared" si="0"/>
        <v>17</v>
      </c>
      <c r="I14">
        <f t="shared" si="4"/>
        <v>1641600</v>
      </c>
      <c r="J14" s="31">
        <f t="shared" si="6"/>
        <v>19</v>
      </c>
      <c r="K14">
        <f t="shared" si="8"/>
        <v>1641600</v>
      </c>
      <c r="L14">
        <f t="shared" si="7"/>
        <v>0.99249963525894691</v>
      </c>
      <c r="AC14" t="s">
        <v>82</v>
      </c>
      <c r="AD14" s="18" t="s">
        <v>81</v>
      </c>
    </row>
    <row r="15" spans="1:30" x14ac:dyDescent="0.25">
      <c r="AC15">
        <v>0.88693192384909358</v>
      </c>
      <c r="AD15">
        <v>1.2925251147853921E-2</v>
      </c>
    </row>
    <row r="22" spans="1:34" ht="15.75" thickBot="1" x14ac:dyDescent="0.3"/>
    <row r="23" spans="1:34" ht="15.75" thickBot="1" x14ac:dyDescent="0.3">
      <c r="A23" s="19" t="s">
        <v>83</v>
      </c>
      <c r="B23" s="20" t="s">
        <v>74</v>
      </c>
      <c r="C23" s="20" t="s">
        <v>84</v>
      </c>
      <c r="D23" s="20" t="s">
        <v>85</v>
      </c>
      <c r="E23" s="20" t="s">
        <v>86</v>
      </c>
      <c r="F23" s="20"/>
      <c r="G23" s="20"/>
      <c r="H23" s="20"/>
      <c r="I23" s="20" t="s">
        <v>87</v>
      </c>
      <c r="J23" s="20"/>
      <c r="K23" s="20" t="s">
        <v>88</v>
      </c>
      <c r="L23" s="20" t="s">
        <v>89</v>
      </c>
      <c r="M23" s="20" t="s">
        <v>90</v>
      </c>
      <c r="N23" s="20"/>
      <c r="O23" s="21" t="s">
        <v>120</v>
      </c>
      <c r="P23" s="21"/>
      <c r="Q23" s="20"/>
      <c r="R23" s="21" t="s">
        <v>91</v>
      </c>
      <c r="S23" s="20"/>
      <c r="T23" s="21" t="s">
        <v>92</v>
      </c>
      <c r="U23" s="21" t="s">
        <v>93</v>
      </c>
      <c r="V23" s="20" t="s">
        <v>94</v>
      </c>
      <c r="W23" s="20" t="s">
        <v>95</v>
      </c>
      <c r="X23" s="21" t="s">
        <v>96</v>
      </c>
      <c r="Y23" s="20" t="s">
        <v>97</v>
      </c>
      <c r="Z23" s="21" t="s">
        <v>98</v>
      </c>
      <c r="AA23" s="20" t="s">
        <v>99</v>
      </c>
      <c r="AB23" s="21" t="s">
        <v>100</v>
      </c>
      <c r="AC23" s="22" t="s">
        <v>101</v>
      </c>
      <c r="AD23" s="23" t="s">
        <v>102</v>
      </c>
      <c r="AE23" s="24" t="s">
        <v>103</v>
      </c>
      <c r="AF23" s="24" t="s">
        <v>104</v>
      </c>
      <c r="AG23" t="s">
        <v>105</v>
      </c>
      <c r="AH23" s="18" t="s">
        <v>106</v>
      </c>
    </row>
    <row r="24" spans="1:34" x14ac:dyDescent="0.25">
      <c r="A24" t="s">
        <v>222</v>
      </c>
      <c r="B24" s="25">
        <v>44340</v>
      </c>
      <c r="C24">
        <v>320.07</v>
      </c>
      <c r="D24">
        <v>9487</v>
      </c>
      <c r="E24">
        <v>1.03</v>
      </c>
      <c r="I24">
        <f>D24+G24</f>
        <v>9487</v>
      </c>
      <c r="K24">
        <f>D24/C24</f>
        <v>29.640391164432781</v>
      </c>
      <c r="L24">
        <f>I24/K24</f>
        <v>320.07</v>
      </c>
      <c r="M24">
        <f>L24/60</f>
        <v>5.3345000000000002</v>
      </c>
      <c r="O24">
        <f>D24*(E24/100)</f>
        <v>97.716099999999997</v>
      </c>
      <c r="R24">
        <f>SQRT((O24^2)+(P24^2))</f>
        <v>97.716099999999997</v>
      </c>
      <c r="T24">
        <f>R24/K24</f>
        <v>3.2967209999999998</v>
      </c>
      <c r="U24">
        <f>T24/60</f>
        <v>5.4945349999999997E-2</v>
      </c>
      <c r="V24">
        <v>3</v>
      </c>
      <c r="W24">
        <v>72.87</v>
      </c>
      <c r="X24">
        <v>2.38</v>
      </c>
      <c r="Y24">
        <f>M24/(W24/100)</f>
        <v>7.3205708796486899</v>
      </c>
      <c r="Z24">
        <f>Y24*(SQRT(((U24/M24)^2)+((X24/W24)^2)))</f>
        <v>0.2507041252681147</v>
      </c>
      <c r="AA24">
        <f>Y26</f>
        <v>2.3100498604821371E-2</v>
      </c>
      <c r="AB24">
        <f>Z26</f>
        <v>4.28509545454354E-3</v>
      </c>
      <c r="AC24">
        <f>Y24-AA24</f>
        <v>7.2974703810438681</v>
      </c>
      <c r="AD24">
        <f>SQRT((Z24^2)+(AB24^2))</f>
        <v>0.2507407435370349</v>
      </c>
      <c r="AE24">
        <f>AC24/0.8781</f>
        <v>8.3105231534493438</v>
      </c>
      <c r="AF24">
        <f>AE24*(SQRT(((AD24/AC24)^2)+((AD15/AC15)^2)))</f>
        <v>0.31017055551504757</v>
      </c>
      <c r="AG24">
        <f>AE24/AC12</f>
        <v>9.4040130420611021</v>
      </c>
      <c r="AH24">
        <f>AG24*(SQRT(((AF24/AE24)^2)+((AD12/AC12)^2)))</f>
        <v>0.71452221417934669</v>
      </c>
    </row>
    <row r="26" spans="1:34" x14ac:dyDescent="0.25">
      <c r="A26" t="s">
        <v>107</v>
      </c>
      <c r="B26" s="25">
        <v>44340</v>
      </c>
      <c r="C26">
        <v>1.01</v>
      </c>
      <c r="D26">
        <v>30</v>
      </c>
      <c r="E26">
        <v>18.260000000000002</v>
      </c>
      <c r="I26">
        <f>D26+G26</f>
        <v>30</v>
      </c>
      <c r="K26" s="26">
        <f>D26/C26</f>
        <v>29.702970297029704</v>
      </c>
      <c r="L26" s="26">
        <f>I26/K26</f>
        <v>1.01</v>
      </c>
      <c r="M26" s="26">
        <f>L26/60</f>
        <v>1.6833333333333332E-2</v>
      </c>
      <c r="O26">
        <f>D26*(E26/100)</f>
        <v>5.4780000000000006</v>
      </c>
      <c r="R26">
        <f>SQRT((O26^2)+(P26^2))</f>
        <v>5.4780000000000006</v>
      </c>
      <c r="T26">
        <f>R26/K26</f>
        <v>0.18442600000000001</v>
      </c>
      <c r="U26">
        <f>T26/60</f>
        <v>3.0737666666666667E-3</v>
      </c>
      <c r="V26">
        <v>3</v>
      </c>
      <c r="W26">
        <v>72.87</v>
      </c>
      <c r="X26">
        <v>2.38</v>
      </c>
      <c r="Y26">
        <f>M26/(W26/100)</f>
        <v>2.3100498604821371E-2</v>
      </c>
      <c r="Z26">
        <f>Y26*(SQRT(((U26/M26)^2)+((X26/W26)^2)))</f>
        <v>4.28509545454354E-3</v>
      </c>
    </row>
    <row r="30" spans="1:34" x14ac:dyDescent="0.25">
      <c r="B30" s="38" t="s">
        <v>108</v>
      </c>
      <c r="C30" s="38"/>
      <c r="D30">
        <f>AG24</f>
        <v>9.4040130420611021</v>
      </c>
      <c r="F30" s="27" t="s">
        <v>109</v>
      </c>
      <c r="G30">
        <f>AH24</f>
        <v>0.71452221417934669</v>
      </c>
    </row>
    <row r="32" spans="1:34" x14ac:dyDescent="0.25">
      <c r="C32" t="s">
        <v>223</v>
      </c>
      <c r="D32">
        <f>'C13D'!E8</f>
        <v>9.9586066262981774</v>
      </c>
    </row>
    <row r="34" spans="3:4" x14ac:dyDescent="0.25">
      <c r="C34" t="s">
        <v>224</v>
      </c>
      <c r="D34">
        <f>D30/D32</f>
        <v>0.94431012238473877</v>
      </c>
    </row>
    <row r="36" spans="3:4" x14ac:dyDescent="0.25">
      <c r="C36" t="s">
        <v>228</v>
      </c>
      <c r="D36">
        <f>AE24/D32</f>
        <v>0.83450661978186191</v>
      </c>
    </row>
  </sheetData>
  <mergeCells count="1">
    <mergeCell ref="B30:C3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A2" sqref="A2"/>
    </sheetView>
  </sheetViews>
  <sheetFormatPr defaultRowHeight="15" x14ac:dyDescent="0.25"/>
  <cols>
    <col min="1" max="1" width="9.28515625" bestFit="1" customWidth="1"/>
    <col min="2" max="2" width="11.85546875" bestFit="1" customWidth="1"/>
    <col min="3" max="3" width="16.85546875" bestFit="1" customWidth="1"/>
    <col min="4" max="4" width="14.7109375" bestFit="1" customWidth="1"/>
    <col min="5" max="5" width="16.7109375" bestFit="1" customWidth="1"/>
    <col min="6" max="6" width="10.28515625" bestFit="1" customWidth="1"/>
  </cols>
  <sheetData>
    <row r="1" spans="1:6" x14ac:dyDescent="0.25">
      <c r="A1" t="s">
        <v>0</v>
      </c>
      <c r="B1" t="s">
        <v>49</v>
      </c>
      <c r="C1" t="s">
        <v>50</v>
      </c>
      <c r="D1" t="s">
        <v>3</v>
      </c>
      <c r="E1" t="s">
        <v>53</v>
      </c>
      <c r="F1" t="s">
        <v>54</v>
      </c>
    </row>
    <row r="2" spans="1:6" x14ac:dyDescent="0.25">
      <c r="A2" t="s">
        <v>123</v>
      </c>
      <c r="B2">
        <v>13.3992</v>
      </c>
      <c r="C2">
        <v>23.7974</v>
      </c>
      <c r="D2">
        <f>C2-B2</f>
        <v>10.398199999999999</v>
      </c>
      <c r="E2">
        <v>24.3796</v>
      </c>
      <c r="F2">
        <f>E2-B2</f>
        <v>10.980399999999999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5"/>
  <sheetViews>
    <sheetView tabSelected="1" topLeftCell="A67" zoomScale="80" zoomScaleNormal="80" workbookViewId="0">
      <selection activeCell="H89" sqref="H89"/>
    </sheetView>
  </sheetViews>
  <sheetFormatPr defaultRowHeight="15" x14ac:dyDescent="0.25"/>
  <cols>
    <col min="1" max="1" width="32.140625" bestFit="1" customWidth="1"/>
    <col min="2" max="2" width="14.5703125" bestFit="1" customWidth="1"/>
    <col min="3" max="3" width="25" bestFit="1" customWidth="1"/>
    <col min="4" max="4" width="28.7109375" bestFit="1" customWidth="1"/>
    <col min="5" max="5" width="23.7109375" bestFit="1" customWidth="1"/>
    <col min="6" max="6" width="28.140625" bestFit="1" customWidth="1"/>
    <col min="7" max="7" width="32.140625" bestFit="1" customWidth="1"/>
    <col min="8" max="8" width="13" bestFit="1" customWidth="1"/>
    <col min="10" max="10" width="31" bestFit="1" customWidth="1"/>
    <col min="11" max="11" width="19.85546875" bestFit="1" customWidth="1"/>
    <col min="12" max="12" width="27.85546875" bestFit="1" customWidth="1"/>
    <col min="13" max="13" width="42.42578125" bestFit="1" customWidth="1"/>
    <col min="14" max="14" width="24.140625" bestFit="1" customWidth="1"/>
    <col min="15" max="15" width="16.5703125" bestFit="1" customWidth="1"/>
    <col min="16" max="16" width="31" bestFit="1" customWidth="1"/>
    <col min="17" max="17" width="13" bestFit="1" customWidth="1"/>
    <col min="20" max="20" width="32.7109375" bestFit="1" customWidth="1"/>
  </cols>
  <sheetData>
    <row r="1" spans="1:15" x14ac:dyDescent="0.25">
      <c r="A1" t="s">
        <v>55</v>
      </c>
      <c r="B1" t="s">
        <v>56</v>
      </c>
      <c r="C1" t="s">
        <v>57</v>
      </c>
      <c r="D1" t="s">
        <v>58</v>
      </c>
      <c r="E1" t="s">
        <v>59</v>
      </c>
      <c r="F1" t="s">
        <v>60</v>
      </c>
      <c r="G1" t="s">
        <v>61</v>
      </c>
      <c r="H1" t="s">
        <v>62</v>
      </c>
      <c r="J1" t="s">
        <v>63</v>
      </c>
      <c r="K1" t="s">
        <v>64</v>
      </c>
      <c r="L1" t="s">
        <v>65</v>
      </c>
      <c r="M1" t="s">
        <v>66</v>
      </c>
      <c r="N1" t="s">
        <v>67</v>
      </c>
      <c r="O1" t="s">
        <v>68</v>
      </c>
    </row>
    <row r="2" spans="1:15" x14ac:dyDescent="0.25">
      <c r="A2" t="s">
        <v>70</v>
      </c>
      <c r="B2">
        <v>160820</v>
      </c>
      <c r="C2">
        <v>3204</v>
      </c>
      <c r="D2">
        <v>2</v>
      </c>
      <c r="E2">
        <v>37.54</v>
      </c>
      <c r="F2">
        <f>((C2-D2)/B2)/(E2/100)</f>
        <v>5.303798321296483E-2</v>
      </c>
      <c r="G2">
        <f>'C13D'!E21</f>
        <v>5.4125909999999999E-2</v>
      </c>
      <c r="H2">
        <f>(F2/G2)*100</f>
        <v>97.990007397501174</v>
      </c>
      <c r="J2">
        <v>3042</v>
      </c>
      <c r="K2">
        <v>1</v>
      </c>
      <c r="L2">
        <f>((J2-K2)/B2)/(E2/100)</f>
        <v>5.0371176436797643E-2</v>
      </c>
      <c r="M2">
        <f>L2/(H2/100)</f>
        <v>5.1404401096189885E-2</v>
      </c>
      <c r="N2">
        <f>'C13D'!E20</f>
        <v>5.162060000000001E-2</v>
      </c>
      <c r="O2">
        <f>M2/N2*100</f>
        <v>99.581177080835701</v>
      </c>
    </row>
    <row r="3" spans="1:15" x14ac:dyDescent="0.25">
      <c r="A3" t="s">
        <v>71</v>
      </c>
      <c r="F3" t="e">
        <f>((C4-D3)/B3)/(E3/100)</f>
        <v>#DIV/0!</v>
      </c>
      <c r="L3" t="e">
        <f>((J3-K3)/B3)/(E3/100)</f>
        <v>#DIV/0!</v>
      </c>
      <c r="M3" t="s">
        <v>69</v>
      </c>
      <c r="N3">
        <f>'C13D'!E24</f>
        <v>0</v>
      </c>
      <c r="O3" t="e">
        <f>L3/N3*100</f>
        <v>#DIV/0!</v>
      </c>
    </row>
    <row r="4" spans="1:15" x14ac:dyDescent="0.25">
      <c r="A4" t="s">
        <v>72</v>
      </c>
      <c r="B4">
        <v>173873</v>
      </c>
      <c r="C4">
        <v>729</v>
      </c>
      <c r="D4">
        <v>2</v>
      </c>
      <c r="E4">
        <v>37.85</v>
      </c>
      <c r="F4">
        <f t="shared" ref="F4" si="0">((C4-D4)/B4)/(E4/100)</f>
        <v>1.1046797157806482E-2</v>
      </c>
      <c r="G4">
        <f>'C13D'!E13</f>
        <v>5.4554130000000006E-2</v>
      </c>
      <c r="H4">
        <f t="shared" ref="H4" si="1">(F4/G4)*100</f>
        <v>20.249240814227047</v>
      </c>
      <c r="J4">
        <v>720</v>
      </c>
      <c r="K4">
        <v>0</v>
      </c>
      <c r="L4">
        <f t="shared" ref="L4:L5" si="2">((J4-K4)/B4)/(E4/100)</f>
        <v>1.0940431848171483E-2</v>
      </c>
      <c r="M4">
        <f t="shared" ref="M4:M5" si="3">L4/(H4/100)</f>
        <v>5.4028849518569476E-2</v>
      </c>
      <c r="N4">
        <f>'C13D'!E12</f>
        <v>6.370729036642353E-2</v>
      </c>
      <c r="O4">
        <f t="shared" ref="O4:O5" si="4">M4/N4*100</f>
        <v>84.807954015644327</v>
      </c>
    </row>
    <row r="5" spans="1:15" x14ac:dyDescent="0.25">
      <c r="A5" t="s">
        <v>73</v>
      </c>
      <c r="B5">
        <v>196869.8</v>
      </c>
      <c r="C5">
        <v>1690</v>
      </c>
      <c r="D5">
        <v>4</v>
      </c>
      <c r="E5">
        <v>35.76</v>
      </c>
      <c r="F5">
        <f>((C5-D5)/B5)/(E5/100)</f>
        <v>2.3948645758115981E-2</v>
      </c>
      <c r="G5" s="13">
        <f>'C13D'!E17</f>
        <v>5.3591859999999998E-2</v>
      </c>
      <c r="H5">
        <f>(F5/G5)*100</f>
        <v>44.687095686016463</v>
      </c>
      <c r="J5">
        <v>2025</v>
      </c>
      <c r="K5">
        <v>1</v>
      </c>
      <c r="L5">
        <f t="shared" si="2"/>
        <v>2.8749738442720489E-2</v>
      </c>
      <c r="M5">
        <f t="shared" si="3"/>
        <v>6.4335661115065237E-2</v>
      </c>
      <c r="N5">
        <f>'C13D'!E16</f>
        <v>6.4565093308969174E-2</v>
      </c>
      <c r="O5">
        <f t="shared" si="4"/>
        <v>99.64464979117119</v>
      </c>
    </row>
    <row r="16" spans="1:15" x14ac:dyDescent="0.25">
      <c r="J16" t="s">
        <v>124</v>
      </c>
      <c r="K16" t="s">
        <v>125</v>
      </c>
      <c r="L16">
        <f>N2-L2</f>
        <v>1.2494235632023662E-3</v>
      </c>
    </row>
    <row r="17" spans="1:21" x14ac:dyDescent="0.25">
      <c r="C17" t="s">
        <v>124</v>
      </c>
      <c r="E17" t="s">
        <v>126</v>
      </c>
      <c r="F17">
        <f>G2-F2</f>
        <v>1.0879267870351692E-3</v>
      </c>
      <c r="K17" t="s">
        <v>127</v>
      </c>
      <c r="L17" t="e">
        <f>N3-L3</f>
        <v>#DIV/0!</v>
      </c>
    </row>
    <row r="18" spans="1:21" x14ac:dyDescent="0.25">
      <c r="F18" t="e">
        <f t="shared" ref="F18:F20" si="5">G3-F3</f>
        <v>#DIV/0!</v>
      </c>
    </row>
    <row r="19" spans="1:21" x14ac:dyDescent="0.25">
      <c r="E19" t="s">
        <v>128</v>
      </c>
      <c r="F19">
        <f t="shared" si="5"/>
        <v>4.3507332842193526E-2</v>
      </c>
    </row>
    <row r="20" spans="1:21" x14ac:dyDescent="0.25">
      <c r="E20" t="s">
        <v>129</v>
      </c>
      <c r="F20">
        <f t="shared" si="5"/>
        <v>2.9643214241884017E-2</v>
      </c>
    </row>
    <row r="23" spans="1:21" x14ac:dyDescent="0.25">
      <c r="A23" t="s">
        <v>130</v>
      </c>
      <c r="D23" t="s">
        <v>131</v>
      </c>
      <c r="G23" t="s">
        <v>132</v>
      </c>
      <c r="J23" t="s">
        <v>133</v>
      </c>
      <c r="M23" t="s">
        <v>134</v>
      </c>
      <c r="P23" t="s">
        <v>135</v>
      </c>
      <c r="T23" t="s">
        <v>136</v>
      </c>
    </row>
    <row r="24" spans="1:21" x14ac:dyDescent="0.25">
      <c r="A24" t="s">
        <v>137</v>
      </c>
      <c r="B24">
        <v>9</v>
      </c>
      <c r="D24" t="s">
        <v>137</v>
      </c>
      <c r="G24" t="s">
        <v>137</v>
      </c>
      <c r="H24">
        <v>16</v>
      </c>
      <c r="J24" t="s">
        <v>137</v>
      </c>
      <c r="K24">
        <v>7</v>
      </c>
      <c r="M24" t="s">
        <v>137</v>
      </c>
      <c r="N24">
        <v>4</v>
      </c>
      <c r="P24" t="s">
        <v>137</v>
      </c>
      <c r="Q24">
        <v>8</v>
      </c>
    </row>
    <row r="25" spans="1:21" x14ac:dyDescent="0.25">
      <c r="A25" t="s">
        <v>138</v>
      </c>
      <c r="B25">
        <v>160820</v>
      </c>
      <c r="D25" t="s">
        <v>138</v>
      </c>
      <c r="G25" t="s">
        <v>138</v>
      </c>
      <c r="H25">
        <v>196869.8</v>
      </c>
      <c r="J25" t="s">
        <v>138</v>
      </c>
      <c r="K25">
        <v>173873.7</v>
      </c>
      <c r="M25" t="s">
        <v>138</v>
      </c>
      <c r="N25">
        <v>196649.3</v>
      </c>
      <c r="P25" t="s">
        <v>138</v>
      </c>
      <c r="Q25">
        <v>200000</v>
      </c>
    </row>
    <row r="26" spans="1:21" x14ac:dyDescent="0.25">
      <c r="A26" t="s">
        <v>139</v>
      </c>
      <c r="B26">
        <v>38.075000000000003</v>
      </c>
      <c r="D26" t="s">
        <v>139</v>
      </c>
      <c r="G26" t="s">
        <v>139</v>
      </c>
      <c r="H26">
        <v>35.76</v>
      </c>
      <c r="J26" t="s">
        <v>139</v>
      </c>
      <c r="K26">
        <v>37.366</v>
      </c>
      <c r="M26" t="s">
        <v>139</v>
      </c>
      <c r="N26">
        <v>37.220999999999997</v>
      </c>
      <c r="P26" t="s">
        <v>139</v>
      </c>
      <c r="Q26">
        <v>35.777999999999999</v>
      </c>
    </row>
    <row r="28" spans="1:21" x14ac:dyDescent="0.25">
      <c r="A28" t="s">
        <v>140</v>
      </c>
      <c r="B28">
        <v>3204</v>
      </c>
      <c r="G28" t="s">
        <v>141</v>
      </c>
      <c r="H28">
        <v>1690</v>
      </c>
      <c r="J28" t="s">
        <v>142</v>
      </c>
      <c r="K28">
        <v>871</v>
      </c>
      <c r="M28" t="s">
        <v>142</v>
      </c>
      <c r="N28">
        <v>76</v>
      </c>
      <c r="P28" t="s">
        <v>142</v>
      </c>
      <c r="Q28">
        <v>1470</v>
      </c>
    </row>
    <row r="29" spans="1:21" x14ac:dyDescent="0.25">
      <c r="A29" t="s">
        <v>58</v>
      </c>
      <c r="B29">
        <v>2</v>
      </c>
      <c r="G29" t="s">
        <v>58</v>
      </c>
      <c r="H29">
        <v>4</v>
      </c>
      <c r="J29" t="s">
        <v>58</v>
      </c>
      <c r="K29">
        <v>2</v>
      </c>
      <c r="M29" t="s">
        <v>58</v>
      </c>
      <c r="N29">
        <v>3</v>
      </c>
      <c r="P29" t="s">
        <v>58</v>
      </c>
      <c r="Q29">
        <v>5</v>
      </c>
    </row>
    <row r="30" spans="1:21" x14ac:dyDescent="0.25">
      <c r="A30" t="s">
        <v>143</v>
      </c>
      <c r="B30">
        <f>B28-B29</f>
        <v>3202</v>
      </c>
      <c r="G30" t="s">
        <v>143</v>
      </c>
      <c r="H30">
        <f>H28-H29</f>
        <v>1686</v>
      </c>
      <c r="J30" t="s">
        <v>143</v>
      </c>
      <c r="K30">
        <f>K28-K29</f>
        <v>869</v>
      </c>
      <c r="M30" t="s">
        <v>143</v>
      </c>
      <c r="N30">
        <f>N28-N29</f>
        <v>73</v>
      </c>
      <c r="P30" t="s">
        <v>143</v>
      </c>
      <c r="Q30">
        <f>Q28-Q29</f>
        <v>1465</v>
      </c>
    </row>
    <row r="32" spans="1:21" x14ac:dyDescent="0.25">
      <c r="A32" t="s">
        <v>144</v>
      </c>
      <c r="B32">
        <f>((B30/B25)/(B26/100))</f>
        <v>5.2292735123170044E-2</v>
      </c>
      <c r="G32" t="s">
        <v>145</v>
      </c>
      <c r="H32">
        <f>((H30/H25)/(H26/100))</f>
        <v>2.3948645758115981E-2</v>
      </c>
      <c r="J32" t="s">
        <v>146</v>
      </c>
      <c r="K32">
        <f>((K30/K25)/(K26/100))</f>
        <v>1.3375476758414171E-2</v>
      </c>
      <c r="M32" t="s">
        <v>146</v>
      </c>
      <c r="N32">
        <f>((N30/N25)/(N26/100))</f>
        <v>9.9733811886503713E-4</v>
      </c>
      <c r="P32" t="s">
        <v>146</v>
      </c>
      <c r="Q32">
        <f>((Q30/Q25)/(Q26/100))</f>
        <v>2.0473475320029067E-2</v>
      </c>
      <c r="T32" t="s">
        <v>147</v>
      </c>
      <c r="U32">
        <f>SUM(K32,Q32)</f>
        <v>3.384895207844324E-2</v>
      </c>
    </row>
    <row r="34" spans="1:21" x14ac:dyDescent="0.25">
      <c r="A34" t="s">
        <v>148</v>
      </c>
      <c r="B34">
        <f>'C13D'!E21</f>
        <v>5.4125909999999999E-2</v>
      </c>
      <c r="G34" t="s">
        <v>148</v>
      </c>
      <c r="H34">
        <f>'C13D'!E17</f>
        <v>5.3591859999999998E-2</v>
      </c>
      <c r="J34" t="s">
        <v>148</v>
      </c>
      <c r="K34">
        <f>'C13D'!E13</f>
        <v>5.4554130000000006E-2</v>
      </c>
      <c r="M34" t="s">
        <v>148</v>
      </c>
      <c r="N34">
        <f>'C13D'!E13</f>
        <v>5.4554130000000006E-2</v>
      </c>
      <c r="P34" t="s">
        <v>148</v>
      </c>
      <c r="Q34">
        <f>'C13D'!E13</f>
        <v>5.4554130000000006E-2</v>
      </c>
      <c r="T34" t="s">
        <v>148</v>
      </c>
      <c r="U34">
        <f>'C13D'!E13</f>
        <v>5.4554130000000006E-2</v>
      </c>
    </row>
    <row r="35" spans="1:21" x14ac:dyDescent="0.25">
      <c r="A35" t="s">
        <v>116</v>
      </c>
      <c r="B35">
        <f>B32/B34</f>
        <v>0.9661312876433864</v>
      </c>
      <c r="G35" t="s">
        <v>116</v>
      </c>
      <c r="H35">
        <f>H32/H34</f>
        <v>0.44687095686016459</v>
      </c>
      <c r="J35" t="s">
        <v>116</v>
      </c>
      <c r="K35">
        <f>K32/K34</f>
        <v>0.24517807833090124</v>
      </c>
      <c r="M35" t="s">
        <v>116</v>
      </c>
      <c r="N35">
        <f>N32/N34</f>
        <v>1.8281624486817718E-2</v>
      </c>
      <c r="P35" t="s">
        <v>116</v>
      </c>
      <c r="Q35">
        <f>Q32/Q34</f>
        <v>0.37528735807956365</v>
      </c>
      <c r="T35" t="s">
        <v>149</v>
      </c>
      <c r="U35">
        <f>U32/U34</f>
        <v>0.62046543641046492</v>
      </c>
    </row>
    <row r="38" spans="1:21" x14ac:dyDescent="0.25">
      <c r="A38" t="s">
        <v>150</v>
      </c>
      <c r="B38">
        <v>3042</v>
      </c>
      <c r="D38" t="s">
        <v>151</v>
      </c>
      <c r="G38" t="s">
        <v>152</v>
      </c>
      <c r="H38">
        <v>2025</v>
      </c>
      <c r="J38" t="s">
        <v>153</v>
      </c>
      <c r="K38">
        <v>1010</v>
      </c>
      <c r="M38" t="s">
        <v>153</v>
      </c>
      <c r="N38">
        <v>77</v>
      </c>
      <c r="P38" t="s">
        <v>153</v>
      </c>
      <c r="Q38">
        <v>1596</v>
      </c>
    </row>
    <row r="39" spans="1:21" x14ac:dyDescent="0.25">
      <c r="A39" t="s">
        <v>64</v>
      </c>
      <c r="B39">
        <v>1</v>
      </c>
      <c r="D39" t="s">
        <v>64</v>
      </c>
      <c r="G39" t="s">
        <v>64</v>
      </c>
      <c r="H39">
        <v>1</v>
      </c>
      <c r="J39" t="s">
        <v>64</v>
      </c>
      <c r="K39">
        <v>0</v>
      </c>
      <c r="M39" t="s">
        <v>64</v>
      </c>
      <c r="N39">
        <v>1</v>
      </c>
      <c r="P39" t="s">
        <v>64</v>
      </c>
      <c r="Q39">
        <v>3</v>
      </c>
    </row>
    <row r="40" spans="1:21" x14ac:dyDescent="0.25">
      <c r="A40" t="s">
        <v>143</v>
      </c>
      <c r="B40">
        <f>B38-B39</f>
        <v>3041</v>
      </c>
      <c r="D40" t="s">
        <v>143</v>
      </c>
      <c r="E40">
        <f>E38-E39</f>
        <v>0</v>
      </c>
      <c r="G40" t="s">
        <v>143</v>
      </c>
      <c r="H40">
        <f>H38-H39</f>
        <v>2024</v>
      </c>
      <c r="J40" t="s">
        <v>143</v>
      </c>
      <c r="K40">
        <f>K38-K39</f>
        <v>1010</v>
      </c>
      <c r="M40" t="s">
        <v>143</v>
      </c>
      <c r="N40">
        <f>N38-N39</f>
        <v>76</v>
      </c>
      <c r="P40" t="s">
        <v>143</v>
      </c>
      <c r="Q40">
        <f>Q38-Q39</f>
        <v>1593</v>
      </c>
    </row>
    <row r="42" spans="1:21" x14ac:dyDescent="0.25">
      <c r="A42" t="s">
        <v>154</v>
      </c>
      <c r="B42">
        <f>(B40/B25)/(B26/100)</f>
        <v>4.9663400221599041E-2</v>
      </c>
      <c r="D42" t="s">
        <v>155</v>
      </c>
      <c r="E42" t="e">
        <f>(E40/E25)/(E26/100)</f>
        <v>#DIV/0!</v>
      </c>
      <c r="G42" t="s">
        <v>156</v>
      </c>
      <c r="H42">
        <f>(H40/H25)/(H26/100)</f>
        <v>2.8749738442720489E-2</v>
      </c>
      <c r="J42" t="s">
        <v>157</v>
      </c>
      <c r="K42">
        <f>(K40/K25)/(K26/100)</f>
        <v>1.5545720973530854E-2</v>
      </c>
      <c r="M42" t="s">
        <v>157</v>
      </c>
      <c r="N42">
        <f>(N40/N25)/(N26/100)</f>
        <v>1.0383246169005866E-3</v>
      </c>
      <c r="P42" t="s">
        <v>157</v>
      </c>
      <c r="Q42">
        <f>(Q40/Q25)/(Q26/100)</f>
        <v>2.2262284085192017E-2</v>
      </c>
      <c r="T42" t="s">
        <v>158</v>
      </c>
      <c r="U42">
        <f>SUM(K42,Q42)</f>
        <v>3.7808005058722872E-2</v>
      </c>
    </row>
    <row r="43" spans="1:21" x14ac:dyDescent="0.25">
      <c r="A43" t="s">
        <v>159</v>
      </c>
      <c r="B43">
        <f>B42/B35</f>
        <v>5.1404401096189892E-2</v>
      </c>
      <c r="G43" t="s">
        <v>160</v>
      </c>
      <c r="H43">
        <f>H42/H35</f>
        <v>6.4335661115065237E-2</v>
      </c>
      <c r="J43" t="s">
        <v>161</v>
      </c>
      <c r="K43">
        <f>K42/K35</f>
        <v>6.340583578826238E-2</v>
      </c>
      <c r="M43" t="s">
        <v>161</v>
      </c>
      <c r="N43">
        <f>N42/N35</f>
        <v>5.6796080547945209E-2</v>
      </c>
      <c r="P43" t="s">
        <v>161</v>
      </c>
      <c r="Q43">
        <f>Q42/Q35</f>
        <v>5.9320634191126285E-2</v>
      </c>
      <c r="T43" t="s">
        <v>162</v>
      </c>
      <c r="U43">
        <f>U42/U35</f>
        <v>6.0934909247243277E-2</v>
      </c>
    </row>
    <row r="45" spans="1:21" x14ac:dyDescent="0.25">
      <c r="A45" t="s">
        <v>67</v>
      </c>
      <c r="B45">
        <f>'C13D'!E20</f>
        <v>5.162060000000001E-2</v>
      </c>
      <c r="D45" t="s">
        <v>67</v>
      </c>
      <c r="G45" t="s">
        <v>67</v>
      </c>
      <c r="H45">
        <f>'C13D'!E16</f>
        <v>6.4565093308969174E-2</v>
      </c>
      <c r="J45" t="s">
        <v>67</v>
      </c>
      <c r="K45">
        <f>'C13D'!E12</f>
        <v>6.370729036642353E-2</v>
      </c>
      <c r="M45" t="s">
        <v>67</v>
      </c>
      <c r="N45">
        <f>'C13D'!E12</f>
        <v>6.370729036642353E-2</v>
      </c>
      <c r="P45" t="s">
        <v>67</v>
      </c>
      <c r="Q45">
        <f>'C13D'!E12</f>
        <v>6.370729036642353E-2</v>
      </c>
      <c r="T45" t="s">
        <v>67</v>
      </c>
      <c r="U45">
        <f>'C13D'!E12</f>
        <v>6.370729036642353E-2</v>
      </c>
    </row>
    <row r="46" spans="1:21" x14ac:dyDescent="0.25">
      <c r="A46" t="s">
        <v>163</v>
      </c>
      <c r="B46">
        <f>B43/B45</f>
        <v>0.99581177080835714</v>
      </c>
      <c r="D46" t="s">
        <v>163</v>
      </c>
      <c r="G46" t="s">
        <v>163</v>
      </c>
      <c r="H46">
        <f>H43/H45</f>
        <v>0.99644649791171191</v>
      </c>
      <c r="J46" t="s">
        <v>163</v>
      </c>
      <c r="K46">
        <f>K43/K45</f>
        <v>0.99526813059498709</v>
      </c>
      <c r="M46" t="s">
        <v>163</v>
      </c>
      <c r="N46">
        <f>N43/N45</f>
        <v>0.89151618631514074</v>
      </c>
      <c r="P46" t="s">
        <v>163</v>
      </c>
      <c r="Q46">
        <f>Q43/Q45</f>
        <v>0.93114357634633915</v>
      </c>
      <c r="T46" t="s">
        <v>164</v>
      </c>
      <c r="U46">
        <f>U43/U45</f>
        <v>0.95648251395979289</v>
      </c>
    </row>
    <row r="47" spans="1:21" x14ac:dyDescent="0.25">
      <c r="A47" t="s">
        <v>227</v>
      </c>
      <c r="B47">
        <f>B42/B45</f>
        <v>0.96208490838151883</v>
      </c>
      <c r="G47" t="s">
        <v>227</v>
      </c>
      <c r="H47">
        <f>H42/H45</f>
        <v>0.44528299998176674</v>
      </c>
      <c r="T47" t="s">
        <v>227</v>
      </c>
      <c r="U47">
        <f>U42/U45</f>
        <v>0.59346434044304153</v>
      </c>
    </row>
    <row r="48" spans="1:21" x14ac:dyDescent="0.25">
      <c r="D48" t="s">
        <v>165</v>
      </c>
      <c r="G48" t="s">
        <v>165</v>
      </c>
      <c r="J48" t="s">
        <v>166</v>
      </c>
      <c r="K48">
        <v>256</v>
      </c>
      <c r="M48" t="s">
        <v>166</v>
      </c>
      <c r="P48" t="s">
        <v>166</v>
      </c>
      <c r="Q48">
        <v>455</v>
      </c>
    </row>
    <row r="49" spans="1:21" x14ac:dyDescent="0.25">
      <c r="D49" t="s">
        <v>167</v>
      </c>
      <c r="G49" t="s">
        <v>167</v>
      </c>
      <c r="J49" t="s">
        <v>168</v>
      </c>
      <c r="K49">
        <v>5</v>
      </c>
      <c r="M49" t="s">
        <v>168</v>
      </c>
      <c r="P49" t="s">
        <v>168</v>
      </c>
      <c r="Q49">
        <v>4</v>
      </c>
    </row>
    <row r="50" spans="1:21" x14ac:dyDescent="0.25">
      <c r="D50" t="s">
        <v>143</v>
      </c>
      <c r="E50">
        <f>E48-E49</f>
        <v>0</v>
      </c>
      <c r="G50" t="s">
        <v>143</v>
      </c>
      <c r="H50">
        <f>H48-H49</f>
        <v>0</v>
      </c>
      <c r="J50" t="s">
        <v>143</v>
      </c>
      <c r="K50">
        <f>K48-K49</f>
        <v>251</v>
      </c>
      <c r="M50" t="s">
        <v>143</v>
      </c>
      <c r="N50">
        <f>N48-N49</f>
        <v>0</v>
      </c>
      <c r="P50" t="s">
        <v>143</v>
      </c>
      <c r="Q50">
        <f>Q48-Q49</f>
        <v>451</v>
      </c>
    </row>
    <row r="51" spans="1:21" x14ac:dyDescent="0.25">
      <c r="D51" t="s">
        <v>169</v>
      </c>
      <c r="G51" t="s">
        <v>169</v>
      </c>
      <c r="H51">
        <f>((H48-H49)/H25)/(H26/100)</f>
        <v>0</v>
      </c>
      <c r="J51" t="s">
        <v>170</v>
      </c>
      <c r="K51">
        <f>((K48-K49)/K25)/(K26/100)</f>
        <v>3.8633425389665789E-3</v>
      </c>
      <c r="M51" t="s">
        <v>170</v>
      </c>
      <c r="N51">
        <f>((N48-N49)/N25)/(N26/100)</f>
        <v>0</v>
      </c>
      <c r="P51" t="s">
        <v>170</v>
      </c>
      <c r="Q51">
        <f>((Q48-Q49)/Q25)/(Q26/100)</f>
        <v>6.3027558835038293E-3</v>
      </c>
      <c r="T51" t="s">
        <v>171</v>
      </c>
      <c r="U51">
        <f>SUM(K51,Q51)</f>
        <v>1.0166098422470408E-2</v>
      </c>
    </row>
    <row r="54" spans="1:21" x14ac:dyDescent="0.25">
      <c r="D54" t="s">
        <v>172</v>
      </c>
      <c r="G54" t="s">
        <v>172</v>
      </c>
      <c r="H54">
        <v>50</v>
      </c>
      <c r="J54" t="s">
        <v>173</v>
      </c>
      <c r="M54" t="s">
        <v>173</v>
      </c>
      <c r="N54" t="s">
        <v>174</v>
      </c>
      <c r="P54" t="s">
        <v>173</v>
      </c>
      <c r="Q54" t="s">
        <v>174</v>
      </c>
    </row>
    <row r="55" spans="1:21" x14ac:dyDescent="0.25">
      <c r="A55" t="s">
        <v>229</v>
      </c>
      <c r="B55">
        <v>448</v>
      </c>
      <c r="D55" t="s">
        <v>175</v>
      </c>
      <c r="G55" t="s">
        <v>175</v>
      </c>
      <c r="H55">
        <v>1</v>
      </c>
      <c r="J55" t="s">
        <v>176</v>
      </c>
      <c r="M55" t="s">
        <v>176</v>
      </c>
      <c r="P55" t="s">
        <v>176</v>
      </c>
    </row>
    <row r="56" spans="1:21" x14ac:dyDescent="0.25">
      <c r="A56" t="s">
        <v>230</v>
      </c>
      <c r="B56">
        <v>2</v>
      </c>
      <c r="D56" t="s">
        <v>143</v>
      </c>
      <c r="E56">
        <f>E54-E55</f>
        <v>0</v>
      </c>
      <c r="G56" t="s">
        <v>143</v>
      </c>
      <c r="H56">
        <f>H54-H55</f>
        <v>49</v>
      </c>
      <c r="J56" t="s">
        <v>143</v>
      </c>
      <c r="K56">
        <f>K54-K55</f>
        <v>0</v>
      </c>
      <c r="M56" t="s">
        <v>143</v>
      </c>
      <c r="N56" t="e">
        <f>N54-N55</f>
        <v>#VALUE!</v>
      </c>
      <c r="P56" t="s">
        <v>143</v>
      </c>
      <c r="Q56" t="e">
        <f>Q54-Q55</f>
        <v>#VALUE!</v>
      </c>
    </row>
    <row r="57" spans="1:21" x14ac:dyDescent="0.25">
      <c r="A57" t="s">
        <v>143</v>
      </c>
      <c r="B57">
        <f>B55-B56</f>
        <v>446</v>
      </c>
      <c r="D57" t="s">
        <v>177</v>
      </c>
      <c r="G57" t="s">
        <v>177</v>
      </c>
      <c r="H57">
        <f>((H54-H55)/H25)/(H26/100)</f>
        <v>6.9601639510538736E-4</v>
      </c>
      <c r="J57" t="s">
        <v>178</v>
      </c>
      <c r="K57">
        <f>((K54-K55)/K25)/(K26/100)</f>
        <v>0</v>
      </c>
      <c r="M57" t="s">
        <v>178</v>
      </c>
      <c r="P57" t="s">
        <v>178</v>
      </c>
      <c r="T57" t="s">
        <v>179</v>
      </c>
      <c r="U57">
        <f>SUM(K57,N57,Q57)</f>
        <v>0</v>
      </c>
    </row>
    <row r="58" spans="1:21" x14ac:dyDescent="0.25">
      <c r="A58" t="s">
        <v>231</v>
      </c>
      <c r="B58">
        <f>((B55-B56)/B25)/(B26/100)</f>
        <v>7.2837476155321176E-3</v>
      </c>
    </row>
    <row r="60" spans="1:21" x14ac:dyDescent="0.25">
      <c r="A60" t="s">
        <v>238</v>
      </c>
      <c r="B60">
        <v>204</v>
      </c>
      <c r="D60" t="s">
        <v>180</v>
      </c>
      <c r="G60" t="s">
        <v>229</v>
      </c>
      <c r="H60">
        <v>32013</v>
      </c>
      <c r="J60" t="s">
        <v>181</v>
      </c>
      <c r="K60">
        <v>79</v>
      </c>
      <c r="M60" t="s">
        <v>181</v>
      </c>
      <c r="N60" t="s">
        <v>174</v>
      </c>
      <c r="P60" t="s">
        <v>181</v>
      </c>
      <c r="Q60">
        <v>153</v>
      </c>
    </row>
    <row r="61" spans="1:21" x14ac:dyDescent="0.25">
      <c r="A61" t="s">
        <v>239</v>
      </c>
      <c r="B61">
        <v>3</v>
      </c>
      <c r="D61" t="s">
        <v>182</v>
      </c>
      <c r="G61" t="s">
        <v>230</v>
      </c>
      <c r="H61">
        <v>4</v>
      </c>
      <c r="J61" t="s">
        <v>183</v>
      </c>
      <c r="K61">
        <v>0</v>
      </c>
      <c r="M61" t="s">
        <v>183</v>
      </c>
      <c r="P61" t="s">
        <v>183</v>
      </c>
      <c r="Q61">
        <v>1</v>
      </c>
    </row>
    <row r="62" spans="1:21" x14ac:dyDescent="0.25">
      <c r="A62" t="s">
        <v>143</v>
      </c>
      <c r="B62">
        <f>B60-B61</f>
        <v>201</v>
      </c>
      <c r="D62" t="s">
        <v>143</v>
      </c>
      <c r="E62">
        <f>E60-E61</f>
        <v>0</v>
      </c>
      <c r="G62" t="s">
        <v>143</v>
      </c>
      <c r="H62">
        <f>H60-H61</f>
        <v>32009</v>
      </c>
      <c r="J62" t="s">
        <v>143</v>
      </c>
      <c r="K62">
        <f>K60-K61</f>
        <v>79</v>
      </c>
      <c r="M62" t="s">
        <v>143</v>
      </c>
      <c r="N62" t="e">
        <f>N60-N61</f>
        <v>#VALUE!</v>
      </c>
      <c r="P62" t="s">
        <v>143</v>
      </c>
      <c r="Q62">
        <f>Q60-Q61</f>
        <v>152</v>
      </c>
    </row>
    <row r="63" spans="1:21" x14ac:dyDescent="0.25">
      <c r="A63" t="s">
        <v>240</v>
      </c>
      <c r="B63">
        <f>((B60-B61)/B25)/(B26/100)</f>
        <v>3.2825858087936225E-3</v>
      </c>
      <c r="D63" t="s">
        <v>184</v>
      </c>
      <c r="G63" t="s">
        <v>231</v>
      </c>
      <c r="H63">
        <f>((H60-H61)/H25)/(H26/100)</f>
        <v>0.4546691589985376</v>
      </c>
      <c r="J63" t="s">
        <v>185</v>
      </c>
      <c r="K63">
        <f>((K60-K61)/K25)/(K26/100)</f>
        <v>1.2159524325831065E-3</v>
      </c>
      <c r="M63" t="s">
        <v>185</v>
      </c>
      <c r="P63" t="s">
        <v>185</v>
      </c>
      <c r="Q63">
        <f>((Q60-Q61)/Q25)/(Q26/100)</f>
        <v>2.1242104086310024E-3</v>
      </c>
      <c r="T63" t="s">
        <v>186</v>
      </c>
      <c r="U63">
        <f>SUM(K63,N63,Q63)</f>
        <v>3.3401628412141086E-3</v>
      </c>
    </row>
    <row r="66" spans="1:22" x14ac:dyDescent="0.25">
      <c r="J66" t="s">
        <v>229</v>
      </c>
      <c r="K66">
        <v>147</v>
      </c>
      <c r="M66" t="s">
        <v>229</v>
      </c>
      <c r="N66">
        <v>76</v>
      </c>
      <c r="P66" t="s">
        <v>229</v>
      </c>
      <c r="Q66">
        <v>133</v>
      </c>
      <c r="T66" t="s">
        <v>229</v>
      </c>
      <c r="U66">
        <f t="shared" ref="U66:U69" si="6">SUM(K66,N66,Q66)</f>
        <v>356</v>
      </c>
    </row>
    <row r="67" spans="1:22" x14ac:dyDescent="0.25">
      <c r="J67" t="s">
        <v>230</v>
      </c>
      <c r="K67">
        <v>9</v>
      </c>
      <c r="M67" t="s">
        <v>230</v>
      </c>
      <c r="N67">
        <v>3</v>
      </c>
      <c r="P67" t="s">
        <v>230</v>
      </c>
      <c r="Q67">
        <v>5</v>
      </c>
      <c r="T67" t="s">
        <v>230</v>
      </c>
      <c r="U67">
        <f t="shared" si="6"/>
        <v>17</v>
      </c>
    </row>
    <row r="68" spans="1:22" x14ac:dyDescent="0.25">
      <c r="J68" t="s">
        <v>143</v>
      </c>
      <c r="K68">
        <f>K66-K67</f>
        <v>138</v>
      </c>
      <c r="M68" t="s">
        <v>143</v>
      </c>
      <c r="N68">
        <f>N66-N67</f>
        <v>73</v>
      </c>
      <c r="P68" t="s">
        <v>143</v>
      </c>
      <c r="Q68">
        <f>Q66-Q67</f>
        <v>128</v>
      </c>
      <c r="T68" t="s">
        <v>143</v>
      </c>
      <c r="U68">
        <f t="shared" si="6"/>
        <v>339</v>
      </c>
    </row>
    <row r="69" spans="1:22" x14ac:dyDescent="0.25">
      <c r="J69" t="s">
        <v>231</v>
      </c>
      <c r="K69">
        <f>((K66-K67)/K25)/(K26/100)</f>
        <v>2.124068806284414E-3</v>
      </c>
      <c r="M69" t="s">
        <v>231</v>
      </c>
      <c r="N69">
        <f>((N66-N67)/N25)/(N26/100)</f>
        <v>9.9733811886503713E-4</v>
      </c>
      <c r="P69" t="s">
        <v>231</v>
      </c>
      <c r="Q69">
        <f>((Q66-Q67)/Q25)/(Q26/100)</f>
        <v>1.7888087651629495E-3</v>
      </c>
      <c r="T69" t="s">
        <v>231</v>
      </c>
      <c r="U69">
        <f t="shared" si="6"/>
        <v>4.9102156903124009E-3</v>
      </c>
    </row>
    <row r="71" spans="1:22" x14ac:dyDescent="0.25">
      <c r="A71" s="29" t="s">
        <v>187</v>
      </c>
      <c r="B71" s="29">
        <v>0.1</v>
      </c>
      <c r="C71" s="29"/>
      <c r="D71" s="29" t="s">
        <v>138</v>
      </c>
      <c r="E71" s="29"/>
      <c r="F71" s="29"/>
      <c r="G71" s="29" t="s">
        <v>187</v>
      </c>
      <c r="H71" s="29">
        <v>0.1</v>
      </c>
      <c r="I71" s="29"/>
      <c r="J71" s="29" t="s">
        <v>187</v>
      </c>
      <c r="K71" s="29">
        <v>0.1</v>
      </c>
      <c r="L71" s="29"/>
      <c r="M71" s="29" t="s">
        <v>187</v>
      </c>
      <c r="N71" s="29">
        <v>0.1</v>
      </c>
      <c r="O71" s="29"/>
      <c r="P71" s="29" t="s">
        <v>187</v>
      </c>
      <c r="Q71" s="29">
        <v>0.1</v>
      </c>
      <c r="R71" s="29"/>
      <c r="S71" s="29"/>
      <c r="T71" s="29"/>
      <c r="U71" s="29"/>
      <c r="V71" s="29"/>
    </row>
    <row r="72" spans="1:22" x14ac:dyDescent="0.25">
      <c r="A72" s="29" t="s">
        <v>188</v>
      </c>
      <c r="B72" s="29">
        <v>1.8340000000000001</v>
      </c>
      <c r="C72" s="29"/>
      <c r="D72" s="29" t="s">
        <v>139</v>
      </c>
      <c r="E72" s="29"/>
      <c r="F72" s="29"/>
      <c r="G72" s="29" t="s">
        <v>188</v>
      </c>
      <c r="H72" s="29">
        <v>0.84899999999999998</v>
      </c>
      <c r="I72" s="29"/>
      <c r="J72" s="29" t="s">
        <v>188</v>
      </c>
      <c r="K72" s="29">
        <v>1.1499999999999999</v>
      </c>
      <c r="L72" s="29"/>
      <c r="M72" s="29" t="s">
        <v>188</v>
      </c>
      <c r="N72" s="29">
        <v>1.3660000000000001</v>
      </c>
      <c r="O72" s="29"/>
      <c r="P72" s="29" t="s">
        <v>188</v>
      </c>
      <c r="Q72" s="29">
        <v>0.33600000000000002</v>
      </c>
      <c r="R72" s="29"/>
      <c r="S72" s="29"/>
      <c r="T72" s="29"/>
      <c r="U72" s="29"/>
      <c r="V72" s="29"/>
    </row>
    <row r="73" spans="1:22" x14ac:dyDescent="0.2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</row>
    <row r="74" spans="1:22" x14ac:dyDescent="0.25">
      <c r="A74" s="29" t="s">
        <v>189</v>
      </c>
      <c r="B74" s="29">
        <f>SQRT(B30)</f>
        <v>56.586217403180434</v>
      </c>
      <c r="C74" s="29"/>
      <c r="D74" s="29"/>
      <c r="E74" s="29"/>
      <c r="F74" s="29"/>
      <c r="G74" s="29" t="s">
        <v>190</v>
      </c>
      <c r="H74" s="29">
        <f>SQRT(H30)</f>
        <v>41.060930335295616</v>
      </c>
      <c r="I74" s="29"/>
      <c r="J74" s="29" t="s">
        <v>191</v>
      </c>
      <c r="K74" s="29">
        <f>SQRT(K30)</f>
        <v>29.478805945967352</v>
      </c>
      <c r="L74" s="29"/>
      <c r="M74" s="29" t="s">
        <v>191</v>
      </c>
      <c r="N74" s="29">
        <f>SQRT(N30)</f>
        <v>8.5440037453175304</v>
      </c>
      <c r="O74" s="29"/>
      <c r="P74" s="29" t="s">
        <v>191</v>
      </c>
      <c r="Q74" s="29">
        <f>SQRT(Q30)</f>
        <v>38.275318418009277</v>
      </c>
      <c r="R74" s="29"/>
      <c r="S74" s="29"/>
      <c r="T74" s="29"/>
      <c r="U74" s="29"/>
      <c r="V74" s="29"/>
    </row>
    <row r="75" spans="1:22" x14ac:dyDescent="0.25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</row>
    <row r="76" spans="1:22" x14ac:dyDescent="0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</row>
    <row r="77" spans="1:22" x14ac:dyDescent="0.25">
      <c r="A77" s="29" t="s">
        <v>192</v>
      </c>
      <c r="B77" s="29">
        <f>B32*SQRT(((B71/B25)^2)+((B72/B26)^2)+((B74/B30)^2))</f>
        <v>2.6830146442083E-3</v>
      </c>
      <c r="C77" s="29"/>
      <c r="D77" s="29"/>
      <c r="E77" s="29"/>
      <c r="F77" s="29"/>
      <c r="G77" s="29" t="s">
        <v>193</v>
      </c>
      <c r="H77" s="29">
        <f>H32*SQRT(((H71/H25)^2)+((H72/H26)^2)+((H74/H30)^2))</f>
        <v>8.1452998436664324E-4</v>
      </c>
      <c r="I77" s="29"/>
      <c r="J77" s="29" t="s">
        <v>194</v>
      </c>
      <c r="K77" s="29">
        <f>K32*SQRT(((K71/K25)^2)+((K72/K26)^2)+((K74/K30)^2))</f>
        <v>6.126420521959747E-4</v>
      </c>
      <c r="L77" s="29"/>
      <c r="M77" s="29" t="s">
        <v>194</v>
      </c>
      <c r="N77" s="29">
        <f>N32*SQRT(((N71/N25)^2)+((N72/N26)^2)+((N74/N30)^2))</f>
        <v>1.2233358894156955E-4</v>
      </c>
      <c r="O77" s="29"/>
      <c r="P77" s="29" t="s">
        <v>194</v>
      </c>
      <c r="Q77" s="29">
        <f>Q32*SQRT(((Q71/Q25)^2)+((Q72/Q26)^2)+((Q74/Q30)^2))</f>
        <v>5.6840700883117239E-4</v>
      </c>
      <c r="R77" s="29"/>
      <c r="S77" s="29"/>
      <c r="T77" s="29" t="s">
        <v>195</v>
      </c>
      <c r="U77" s="29">
        <f>SQRT((K77^2)+(Q77^2))</f>
        <v>8.357133550490239E-4</v>
      </c>
      <c r="V77" s="29"/>
    </row>
    <row r="78" spans="1:22" x14ac:dyDescent="0.25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</row>
    <row r="79" spans="1:22" x14ac:dyDescent="0.25">
      <c r="A79" s="29" t="s">
        <v>196</v>
      </c>
      <c r="B79" s="29">
        <f>'C13D'!H21</f>
        <v>9.8742737454457903E-5</v>
      </c>
      <c r="C79" s="29"/>
      <c r="D79" s="29"/>
      <c r="E79" s="29"/>
      <c r="F79" s="29"/>
      <c r="G79" s="29" t="s">
        <v>196</v>
      </c>
      <c r="H79" s="29">
        <f>'C13D'!H17</f>
        <v>8.5838567672113445E-5</v>
      </c>
      <c r="I79" s="29"/>
      <c r="J79" s="29" t="s">
        <v>196</v>
      </c>
      <c r="K79" s="29">
        <f>'C13D'!H13</f>
        <v>1.1352711966750501E-5</v>
      </c>
      <c r="L79" s="29"/>
      <c r="M79" s="29" t="s">
        <v>196</v>
      </c>
      <c r="N79" s="29">
        <f>'C13D'!H13</f>
        <v>1.1352711966750501E-5</v>
      </c>
      <c r="O79" s="29"/>
      <c r="P79" s="29" t="s">
        <v>196</v>
      </c>
      <c r="Q79" s="29">
        <f>'C13D'!H13</f>
        <v>1.1352711966750501E-5</v>
      </c>
      <c r="R79" s="29"/>
      <c r="S79" s="29"/>
      <c r="T79" s="29" t="s">
        <v>196</v>
      </c>
      <c r="U79" s="29">
        <f>'C13D'!H13</f>
        <v>1.1352711966750501E-5</v>
      </c>
      <c r="V79" s="29"/>
    </row>
    <row r="80" spans="1:22" x14ac:dyDescent="0.25">
      <c r="A80" s="29" t="s">
        <v>197</v>
      </c>
      <c r="B80" s="29">
        <f>B35*SQRT(((B77/B32)^2)+((B79/B34)^2))</f>
        <v>4.9601200664771895E-2</v>
      </c>
      <c r="C80" s="29"/>
      <c r="D80" s="29"/>
      <c r="E80" s="29"/>
      <c r="F80" s="29"/>
      <c r="G80" s="29" t="s">
        <v>197</v>
      </c>
      <c r="H80" s="29">
        <f>H35*SQRT(((H77/H32)^2)+((H79/H34)^2))</f>
        <v>1.5215607391871527E-2</v>
      </c>
      <c r="I80" s="29"/>
      <c r="J80" s="29" t="s">
        <v>198</v>
      </c>
      <c r="K80" s="29">
        <f>K35*SQRT(((K79/K34)^2)+((K77/K32)^2))</f>
        <v>1.1230100731148962E-2</v>
      </c>
      <c r="L80" s="29"/>
      <c r="M80" s="29" t="s">
        <v>198</v>
      </c>
      <c r="N80" s="29">
        <f>N35*SQRT(((N79/N34)^2)+((N77/N32)^2))</f>
        <v>2.2424290332988643E-3</v>
      </c>
      <c r="O80" s="29"/>
      <c r="P80" s="29" t="s">
        <v>198</v>
      </c>
      <c r="Q80" s="29">
        <f>Q35*SQRT(((Q79/Q34)^2)+((Q77/Q32)^2))</f>
        <v>1.0419430685357573E-2</v>
      </c>
      <c r="R80" s="29"/>
      <c r="S80" s="29"/>
      <c r="T80" s="29" t="s">
        <v>199</v>
      </c>
      <c r="U80" s="29">
        <f>U35*SQRT(((U79/U34)^2)+((U77/U32)^2))</f>
        <v>1.5319519167617889E-2</v>
      </c>
      <c r="V80" s="29"/>
    </row>
    <row r="81" spans="1:22" x14ac:dyDescent="0.25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</row>
    <row r="82" spans="1:22" x14ac:dyDescent="0.25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</row>
    <row r="83" spans="1:22" x14ac:dyDescent="0.25">
      <c r="A83" s="29" t="s">
        <v>200</v>
      </c>
      <c r="B83" s="29">
        <f>SQRT(B40)</f>
        <v>55.145262715848951</v>
      </c>
      <c r="C83" s="29"/>
      <c r="D83" s="29" t="s">
        <v>151</v>
      </c>
      <c r="E83" s="29"/>
      <c r="F83" s="29"/>
      <c r="G83" s="29" t="s">
        <v>201</v>
      </c>
      <c r="H83" s="29">
        <f>SQRT(H40)</f>
        <v>44.988887516807971</v>
      </c>
      <c r="I83" s="29"/>
      <c r="J83" s="29" t="s">
        <v>202</v>
      </c>
      <c r="K83" s="29">
        <f>SQRT(K40)</f>
        <v>31.780497164141408</v>
      </c>
      <c r="L83" s="29"/>
      <c r="M83" s="29" t="s">
        <v>202</v>
      </c>
      <c r="N83" s="29">
        <f>SQRT(N40)</f>
        <v>8.717797887081348</v>
      </c>
      <c r="O83" s="29"/>
      <c r="P83" s="29" t="s">
        <v>202</v>
      </c>
      <c r="Q83" s="29">
        <f>SQRT(Q40)</f>
        <v>39.912404086950211</v>
      </c>
      <c r="R83" s="29"/>
      <c r="S83" s="29"/>
      <c r="T83" s="29"/>
      <c r="U83" s="29"/>
      <c r="V83" s="29"/>
    </row>
    <row r="84" spans="1:22" x14ac:dyDescent="0.25">
      <c r="A84" s="29"/>
      <c r="B84" s="29"/>
      <c r="C84" s="29"/>
      <c r="D84" s="29" t="s">
        <v>64</v>
      </c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</row>
    <row r="85" spans="1:22" x14ac:dyDescent="0.25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</row>
    <row r="86" spans="1:22" x14ac:dyDescent="0.25">
      <c r="A86" s="29" t="s">
        <v>203</v>
      </c>
      <c r="B86" s="29">
        <f>B42*SQRT(((B71/B25)^2)+((B72/B26)^2)+((B83/B40)^2))</f>
        <v>2.5560995237455283E-3</v>
      </c>
      <c r="C86" s="29"/>
      <c r="D86" s="29" t="s">
        <v>155</v>
      </c>
      <c r="E86" s="29"/>
      <c r="F86" s="29"/>
      <c r="G86" s="29" t="s">
        <v>204</v>
      </c>
      <c r="H86" s="29">
        <f>H42*SQRT(((H71/H25)^2)+((H72/H26)^2)+((H83/H40)^2))</f>
        <v>9.3502318994937502E-4</v>
      </c>
      <c r="I86" s="29"/>
      <c r="J86" s="29" t="s">
        <v>205</v>
      </c>
      <c r="K86" s="29">
        <f>K42*SQRT(((K83/K40)^2)+((K72/K26)^2)+((K71/K25)^2))</f>
        <v>6.8424145969822007E-4</v>
      </c>
      <c r="L86" s="29"/>
      <c r="M86" s="29" t="s">
        <v>205</v>
      </c>
      <c r="N86" s="29">
        <f>N42*SQRT(((N83/N40)^2)+((N72/N26)^2)+((N71/N25)^2))</f>
        <v>1.2505137707537097E-4</v>
      </c>
      <c r="O86" s="29"/>
      <c r="P86" s="29" t="s">
        <v>205</v>
      </c>
      <c r="Q86" s="29">
        <f>Q42*SQRT(((Q83/Q40)^2)+((Q72/Q26)^2)+((Q71/Q25)^2))</f>
        <v>5.9567395018593114E-4</v>
      </c>
      <c r="R86" s="29"/>
      <c r="S86" s="29"/>
      <c r="T86" s="29" t="s">
        <v>206</v>
      </c>
      <c r="U86" s="29">
        <f>SQRT((K86^2)+(Q86^2))</f>
        <v>9.0720109683579096E-4</v>
      </c>
      <c r="V86" s="29"/>
    </row>
    <row r="87" spans="1:22" x14ac:dyDescent="0.25">
      <c r="A87" s="29" t="s">
        <v>207</v>
      </c>
      <c r="B87" s="29">
        <f>B43*SQRT(((B80/B35)^2)+((B86/B42)^2))</f>
        <v>3.7369273543416993E-3</v>
      </c>
      <c r="C87" s="29"/>
      <c r="D87" s="29"/>
      <c r="E87" s="29"/>
      <c r="F87" s="29"/>
      <c r="G87" s="29" t="s">
        <v>208</v>
      </c>
      <c r="H87" s="29">
        <f>H43*SQRT(((H80/H35)^2)+((H86/H42)^2))</f>
        <v>3.0293042894337322E-3</v>
      </c>
      <c r="I87" s="29"/>
      <c r="J87" s="29" t="s">
        <v>209</v>
      </c>
      <c r="K87" s="29">
        <f>K43*SQRT(((K86/K42)^2)+((K80/K35)^2))</f>
        <v>4.0277898649523887E-3</v>
      </c>
      <c r="L87" s="29"/>
      <c r="M87" s="29" t="s">
        <v>209</v>
      </c>
      <c r="N87" s="29">
        <f>N43*SQRT(((N86/N42)^2)+((N80/N35)^2))</f>
        <v>9.7633612219265083E-3</v>
      </c>
      <c r="O87" s="29"/>
      <c r="P87" s="29" t="s">
        <v>209</v>
      </c>
      <c r="Q87" s="29">
        <f>Q43*SQRT(((Q86/Q42)^2)+((Q80/Q35)^2))</f>
        <v>2.2873274691337592E-3</v>
      </c>
      <c r="R87" s="29"/>
      <c r="S87" s="29"/>
      <c r="T87" s="29" t="s">
        <v>210</v>
      </c>
      <c r="U87" s="29">
        <f>U43*SQRT(((U86/U42)^2)+((U80/U35)^2))</f>
        <v>2.0979418610974055E-3</v>
      </c>
      <c r="V87" s="29"/>
    </row>
    <row r="88" spans="1:22" x14ac:dyDescent="0.25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</row>
    <row r="89" spans="1:22" x14ac:dyDescent="0.25">
      <c r="A89" s="29" t="s">
        <v>211</v>
      </c>
      <c r="B89" s="29">
        <f>'C13D'!H20</f>
        <v>1.0023384138551686E-3</v>
      </c>
      <c r="C89" s="29"/>
      <c r="D89" s="29" t="s">
        <v>67</v>
      </c>
      <c r="E89" s="29"/>
      <c r="F89" s="29"/>
      <c r="G89" s="29" t="s">
        <v>211</v>
      </c>
      <c r="H89" s="29">
        <f>'C13D'!H16</f>
        <v>2.8181383065390133E-3</v>
      </c>
      <c r="I89" s="29"/>
      <c r="J89" s="29" t="s">
        <v>211</v>
      </c>
      <c r="K89" s="29">
        <f>'C13D'!H12</f>
        <v>2.5801105573220475E-3</v>
      </c>
      <c r="L89" s="29"/>
      <c r="M89" s="29" t="s">
        <v>211</v>
      </c>
      <c r="N89" s="29">
        <f>'C13D'!H12</f>
        <v>2.5801105573220475E-3</v>
      </c>
      <c r="O89" s="29"/>
      <c r="P89" s="29" t="s">
        <v>211</v>
      </c>
      <c r="Q89" s="29">
        <f>'C13D'!H12</f>
        <v>2.5801105573220475E-3</v>
      </c>
      <c r="R89" s="29"/>
      <c r="S89" s="29"/>
      <c r="T89" s="29" t="s">
        <v>211</v>
      </c>
      <c r="U89" s="29">
        <f>'C13D'!H12</f>
        <v>2.5801105573220475E-3</v>
      </c>
      <c r="V89" s="29"/>
    </row>
    <row r="90" spans="1:22" x14ac:dyDescent="0.25">
      <c r="A90" s="29" t="s">
        <v>212</v>
      </c>
      <c r="B90" s="29">
        <f>B46*SQRT(((B87/B43)^2)+((B89/B45)^2))</f>
        <v>7.4930039451335514E-2</v>
      </c>
      <c r="C90" s="29"/>
      <c r="D90" s="29" t="s">
        <v>163</v>
      </c>
      <c r="E90" s="29"/>
      <c r="F90" s="29"/>
      <c r="G90" s="29" t="s">
        <v>212</v>
      </c>
      <c r="H90" s="29">
        <f>H46*SQRT(((H87/H43)^2)+((H89/H45)^2))</f>
        <v>6.3976474726496813E-2</v>
      </c>
      <c r="I90" s="29"/>
      <c r="J90" s="29" t="s">
        <v>212</v>
      </c>
      <c r="K90" s="29">
        <f>K46*SQRT(((K89/K45)^2)+((K87/K43)^2))</f>
        <v>7.4979431726971538E-2</v>
      </c>
      <c r="L90" s="29"/>
      <c r="M90" s="29" t="s">
        <v>212</v>
      </c>
      <c r="N90" s="29">
        <f>N46*SQRT(((N89/N45)^2)+((N87/N43)^2))</f>
        <v>0.15744920914400395</v>
      </c>
      <c r="O90" s="29"/>
      <c r="P90" s="29" t="s">
        <v>212</v>
      </c>
      <c r="Q90" s="29">
        <f>Q46*SQRT(((Q89/Q45)^2)+((Q87/Q43)^2))</f>
        <v>5.2068999581839193E-2</v>
      </c>
      <c r="R90" s="29"/>
      <c r="S90" s="29"/>
      <c r="T90" s="29" t="s">
        <v>213</v>
      </c>
      <c r="U90" s="29">
        <f>U46*SQRT(((U89/U45)^2)+((U87/U43)^2))</f>
        <v>5.0842939774998652E-2</v>
      </c>
      <c r="V90" s="29"/>
    </row>
    <row r="91" spans="1:22" x14ac:dyDescent="0.25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</row>
    <row r="92" spans="1:22" x14ac:dyDescent="0.25">
      <c r="A92" s="29"/>
      <c r="B92" s="29"/>
      <c r="C92" s="29"/>
      <c r="D92" s="29" t="s">
        <v>165</v>
      </c>
      <c r="E92" s="29"/>
      <c r="F92" s="29"/>
      <c r="G92" s="29" t="s">
        <v>214</v>
      </c>
      <c r="H92" s="29">
        <f>SQRT(H50)</f>
        <v>0</v>
      </c>
      <c r="I92" s="29"/>
      <c r="J92" s="29" t="s">
        <v>215</v>
      </c>
      <c r="K92" s="29">
        <f>SQRT(K50)</f>
        <v>15.842979517754859</v>
      </c>
      <c r="L92" s="29"/>
      <c r="M92" s="29" t="s">
        <v>215</v>
      </c>
      <c r="N92" s="29">
        <f>SQRT(N50)</f>
        <v>0</v>
      </c>
      <c r="O92" s="29"/>
      <c r="P92" s="29" t="s">
        <v>215</v>
      </c>
      <c r="Q92" s="29">
        <f>SQRT(Q50)</f>
        <v>21.236760581595302</v>
      </c>
      <c r="R92" s="29"/>
      <c r="S92" s="29"/>
      <c r="T92" s="29"/>
      <c r="U92" s="29"/>
      <c r="V92" s="29"/>
    </row>
    <row r="93" spans="1:22" x14ac:dyDescent="0.25">
      <c r="A93" s="29"/>
      <c r="B93" s="29"/>
      <c r="C93" s="29"/>
      <c r="D93" s="29" t="s">
        <v>167</v>
      </c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</row>
    <row r="94" spans="1:22" x14ac:dyDescent="0.25">
      <c r="A94" s="29"/>
      <c r="B94" s="29"/>
      <c r="C94" s="29"/>
      <c r="D94" s="29" t="s">
        <v>169</v>
      </c>
      <c r="E94" s="29"/>
      <c r="F94" s="29"/>
      <c r="G94" s="29" t="s">
        <v>216</v>
      </c>
      <c r="H94" s="29" t="e">
        <f>H51*SQRT(((H92/H50)^2)+((H71/H25)^2)+((H72/H26)^2))</f>
        <v>#DIV/0!</v>
      </c>
      <c r="I94" s="29"/>
      <c r="J94" s="29" t="s">
        <v>217</v>
      </c>
      <c r="K94" s="29">
        <f>K51*SQRT(((K92/K50)^2)+((K71/K25)^2)+((K72/K26)^2))</f>
        <v>2.7129538485714313E-4</v>
      </c>
      <c r="L94" s="29"/>
      <c r="M94" s="29" t="s">
        <v>217</v>
      </c>
      <c r="N94" s="29" t="e">
        <f>N51*SQRT(((N92/N50)^2)+((N71/N25)^2)+((N72/N26)^2))</f>
        <v>#DIV/0!</v>
      </c>
      <c r="O94" s="29"/>
      <c r="P94" s="29" t="s">
        <v>217</v>
      </c>
      <c r="Q94" s="29">
        <f>Q51*SQRT(((Q92/Q50)^2)+((Q71/Q25)^2)+((Q72/Q26)^2))</f>
        <v>3.026301170202325E-4</v>
      </c>
      <c r="R94" s="29"/>
      <c r="S94" s="29"/>
      <c r="T94" s="29" t="s">
        <v>171</v>
      </c>
      <c r="U94" s="29">
        <f>SQRT((K94^2)+(Q94^2))</f>
        <v>4.0643101945159773E-4</v>
      </c>
      <c r="V94" s="29"/>
    </row>
    <row r="95" spans="1:22" x14ac:dyDescent="0.25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</row>
    <row r="96" spans="1:22" x14ac:dyDescent="0.25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</row>
    <row r="97" spans="1:22" x14ac:dyDescent="0.25">
      <c r="A97" s="29"/>
      <c r="B97" s="29"/>
      <c r="C97" s="29"/>
      <c r="D97" s="29" t="s">
        <v>172</v>
      </c>
      <c r="E97" s="29"/>
      <c r="F97" s="29"/>
      <c r="G97" s="29" t="s">
        <v>202</v>
      </c>
      <c r="H97" s="29">
        <f>SQRT(H56)</f>
        <v>7</v>
      </c>
      <c r="I97" s="29"/>
      <c r="J97" s="29" t="s">
        <v>218</v>
      </c>
      <c r="K97" s="29">
        <f>SQRT(K56)</f>
        <v>0</v>
      </c>
      <c r="L97" s="29"/>
      <c r="M97" s="29" t="s">
        <v>218</v>
      </c>
      <c r="N97" s="29"/>
      <c r="O97" s="29"/>
      <c r="P97" s="29" t="s">
        <v>218</v>
      </c>
      <c r="Q97" s="29"/>
      <c r="R97" s="29"/>
      <c r="S97" s="29"/>
      <c r="T97" s="29"/>
      <c r="U97" s="29"/>
      <c r="V97" s="29"/>
    </row>
    <row r="98" spans="1:22" x14ac:dyDescent="0.25">
      <c r="A98" s="29" t="s">
        <v>232</v>
      </c>
      <c r="B98" s="29">
        <f>SQRT(B55)</f>
        <v>21.166010488516726</v>
      </c>
      <c r="C98" s="29"/>
      <c r="D98" s="29" t="s">
        <v>175</v>
      </c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</row>
    <row r="99" spans="1:22" x14ac:dyDescent="0.25">
      <c r="A99" s="29" t="s">
        <v>233</v>
      </c>
      <c r="B99" s="29">
        <f>SQRT(((SQRT(B56))^2)+(B98^2))</f>
        <v>21.213203435596427</v>
      </c>
      <c r="C99" s="29"/>
      <c r="D99" s="29" t="s">
        <v>177</v>
      </c>
      <c r="E99" s="29"/>
      <c r="F99" s="29"/>
      <c r="G99" s="29" t="s">
        <v>219</v>
      </c>
      <c r="H99" s="29">
        <f>H57*SQRT(((H97/H56)^2)+((H71/H25)^2)+((H72/H26)^2))</f>
        <v>1.0079467912567215E-4</v>
      </c>
      <c r="I99" s="29"/>
      <c r="J99" s="29" t="s">
        <v>220</v>
      </c>
      <c r="K99" s="29" t="e">
        <f>K57*SQRT(((K97/K56)^2)+((K71/K25)^2)+((K72/K26)^2))</f>
        <v>#DIV/0!</v>
      </c>
      <c r="L99" s="29"/>
      <c r="M99" s="29" t="s">
        <v>220</v>
      </c>
      <c r="N99" s="29"/>
      <c r="O99" s="29"/>
      <c r="P99" s="29" t="s">
        <v>220</v>
      </c>
      <c r="Q99" s="29"/>
      <c r="R99" s="29"/>
      <c r="S99" s="29"/>
      <c r="T99" s="29"/>
      <c r="U99" s="29"/>
      <c r="V99" s="29"/>
    </row>
    <row r="100" spans="1:22" x14ac:dyDescent="0.25">
      <c r="A100" s="29" t="s">
        <v>234</v>
      </c>
      <c r="B100" s="29">
        <f>B58*SQRT(((B71/B25)^2)+((B72/B26)^2)+((B99/B57)^2))</f>
        <v>4.9306324839128092E-4</v>
      </c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</row>
    <row r="101" spans="1:22" x14ac:dyDescent="0.25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</row>
    <row r="102" spans="1:22" x14ac:dyDescent="0.25">
      <c r="A102" s="29" t="s">
        <v>241</v>
      </c>
      <c r="B102" s="29">
        <f>SQRT(B60)</f>
        <v>14.282856857085701</v>
      </c>
      <c r="C102" s="29"/>
      <c r="D102" s="29" t="s">
        <v>180</v>
      </c>
      <c r="E102" s="29"/>
      <c r="F102" s="29"/>
      <c r="G102" s="29" t="s">
        <v>232</v>
      </c>
      <c r="H102" s="29">
        <f>SQRT(H60)</f>
        <v>178.92177061498134</v>
      </c>
      <c r="I102" s="29"/>
      <c r="J102" s="29" t="s">
        <v>201</v>
      </c>
      <c r="K102" s="29">
        <f>SQRT(K62)</f>
        <v>8.8881944173155887</v>
      </c>
      <c r="L102" s="29"/>
      <c r="M102" s="29" t="s">
        <v>201</v>
      </c>
      <c r="N102" s="29"/>
      <c r="O102" s="29"/>
      <c r="P102" s="29" t="s">
        <v>201</v>
      </c>
      <c r="Q102" s="29"/>
      <c r="R102" s="29"/>
      <c r="S102" s="29"/>
      <c r="T102" s="29" t="s">
        <v>186</v>
      </c>
      <c r="U102" s="29">
        <f>K104</f>
        <v>1.4183150606424114E-4</v>
      </c>
      <c r="V102" s="29"/>
    </row>
    <row r="103" spans="1:22" x14ac:dyDescent="0.25">
      <c r="A103" s="29" t="s">
        <v>242</v>
      </c>
      <c r="B103" s="29">
        <f>SQRT(((SQRT(B61))^2)+(B102^2))</f>
        <v>14.387494569938159</v>
      </c>
      <c r="C103" s="29"/>
      <c r="D103" s="29" t="s">
        <v>182</v>
      </c>
      <c r="E103" s="29"/>
      <c r="F103" s="29"/>
      <c r="G103" s="29" t="s">
        <v>233</v>
      </c>
      <c r="H103" s="29">
        <f>SQRT(((SQRT(H61))^2)+(H102^2))</f>
        <v>178.93294833540301</v>
      </c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</row>
    <row r="104" spans="1:22" x14ac:dyDescent="0.25">
      <c r="A104" s="29" t="s">
        <v>243</v>
      </c>
      <c r="B104" s="29">
        <f>B63*SQRT(((B71/B25)^2)+((B72/B26)^2)+((B103/B62)^2))</f>
        <v>2.8321317107429046E-4</v>
      </c>
      <c r="C104" s="29"/>
      <c r="D104" s="29" t="s">
        <v>184</v>
      </c>
      <c r="E104" s="29"/>
      <c r="F104" s="29"/>
      <c r="G104" s="29" t="s">
        <v>234</v>
      </c>
      <c r="H104" s="29">
        <f>H63*SQRT(((H71/H25)^2)+((H72/H26)^2)+((H103/H62)^2))</f>
        <v>1.108976295533929E-2</v>
      </c>
      <c r="I104" s="29"/>
      <c r="J104" s="29" t="s">
        <v>221</v>
      </c>
      <c r="K104" s="29">
        <f>K63*SQRT(((K102/K62)^2)+((K71/K25)^2)+((K72/K26)^2))</f>
        <v>1.4183150606424114E-4</v>
      </c>
      <c r="L104" s="29"/>
      <c r="M104" s="29" t="s">
        <v>221</v>
      </c>
      <c r="N104" s="29"/>
      <c r="O104" s="29"/>
      <c r="P104" s="29" t="s">
        <v>221</v>
      </c>
      <c r="Q104" s="29"/>
      <c r="R104" s="29"/>
      <c r="S104" s="29"/>
      <c r="T104" s="29"/>
      <c r="U104" s="29"/>
      <c r="V104" s="29"/>
    </row>
    <row r="105" spans="1:22" x14ac:dyDescent="0.25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</row>
    <row r="106" spans="1:22" x14ac:dyDescent="0.25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</row>
    <row r="107" spans="1:22" x14ac:dyDescent="0.25">
      <c r="A107" s="29"/>
      <c r="B107" s="29"/>
      <c r="C107" s="29"/>
      <c r="D107" s="29"/>
      <c r="E107" s="29"/>
      <c r="F107" s="29"/>
      <c r="G107" s="29"/>
      <c r="H107" s="29"/>
      <c r="I107" s="29"/>
      <c r="J107" s="29" t="s">
        <v>229</v>
      </c>
      <c r="K107" s="29">
        <f>SQRT(K66)</f>
        <v>12.124355652982141</v>
      </c>
      <c r="L107" s="29"/>
      <c r="M107" s="29" t="s">
        <v>229</v>
      </c>
      <c r="N107" s="29">
        <f>SQRT(N66)</f>
        <v>8.717797887081348</v>
      </c>
      <c r="O107" s="29"/>
      <c r="P107" s="29" t="s">
        <v>229</v>
      </c>
      <c r="Q107" s="29">
        <f>SQRT(Q66)</f>
        <v>11.532562594670797</v>
      </c>
      <c r="R107" s="29"/>
      <c r="S107" s="29"/>
      <c r="T107" s="29"/>
      <c r="U107" s="29"/>
      <c r="V107" s="29"/>
    </row>
    <row r="108" spans="1:22" x14ac:dyDescent="0.25">
      <c r="A108" s="29"/>
      <c r="B108" s="29"/>
      <c r="C108" s="29"/>
      <c r="D108" s="29"/>
      <c r="E108" s="29"/>
      <c r="F108" s="29"/>
      <c r="G108" s="29"/>
      <c r="H108" s="29"/>
      <c r="I108" s="29"/>
      <c r="J108" s="29" t="s">
        <v>235</v>
      </c>
      <c r="K108" s="29">
        <f>SQRT(((SQRT(K67))^2)+(K107^2))</f>
        <v>12.489995996796797</v>
      </c>
      <c r="L108" s="29"/>
      <c r="M108" s="29" t="s">
        <v>230</v>
      </c>
      <c r="N108" s="29">
        <f>SQRT(((SQRT(N67))^2)+(N107^2))</f>
        <v>8.8881944173155905</v>
      </c>
      <c r="O108" s="29"/>
      <c r="P108" s="29" t="s">
        <v>230</v>
      </c>
      <c r="Q108" s="29">
        <f>SQRT(((SQRT(Q67))^2)+(Q107^2))</f>
        <v>11.747340124470732</v>
      </c>
      <c r="R108" s="29"/>
      <c r="S108" s="29"/>
      <c r="T108" s="29" t="s">
        <v>236</v>
      </c>
      <c r="U108" s="29">
        <f>SQRT((Q109^2)+(N109^2)+(K109^2))</f>
        <v>2.9077558757719936E-4</v>
      </c>
      <c r="V108" s="29"/>
    </row>
    <row r="109" spans="1:22" x14ac:dyDescent="0.25">
      <c r="A109" s="29"/>
      <c r="B109" s="29"/>
      <c r="C109" s="29"/>
      <c r="D109" s="29"/>
      <c r="E109" s="29"/>
      <c r="F109" s="29"/>
      <c r="G109" s="29"/>
      <c r="H109" s="29"/>
      <c r="I109" s="29"/>
      <c r="J109" s="29" t="s">
        <v>231</v>
      </c>
      <c r="K109" s="29">
        <f>K69*SQRT(((K71/K25)^2)+((K72/K26)^2)+((K108/K68)^2))</f>
        <v>2.0305429096048071E-4</v>
      </c>
      <c r="L109" s="29"/>
      <c r="M109" s="29" t="s">
        <v>231</v>
      </c>
      <c r="N109" s="29">
        <f>N69*SQRT(((N71/N25)^2)+((N72/N26)^2)+((N108/N68)^2))</f>
        <v>1.2682837089601437E-4</v>
      </c>
      <c r="O109" s="29"/>
      <c r="P109" s="29" t="s">
        <v>231</v>
      </c>
      <c r="Q109" s="29">
        <f>Q69*SQRT(((Q71/Q25)^2)+((Q72/Q26)^2)+((Q108/Q68)^2))</f>
        <v>1.6502715409672734E-4</v>
      </c>
      <c r="R109" s="29"/>
      <c r="S109" s="29"/>
      <c r="T109" s="29"/>
      <c r="U109" s="29"/>
      <c r="V109" s="29"/>
    </row>
    <row r="110" spans="1:22" x14ac:dyDescent="0.25">
      <c r="A110" s="29"/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</row>
    <row r="111" spans="1:22" x14ac:dyDescent="0.25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</row>
    <row r="112" spans="1:22" x14ac:dyDescent="0.25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</row>
    <row r="113" spans="1:22" x14ac:dyDescent="0.25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</row>
    <row r="114" spans="1:22" x14ac:dyDescent="0.25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</row>
    <row r="115" spans="1:22" x14ac:dyDescent="0.25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J19" sqref="J19"/>
    </sheetView>
  </sheetViews>
  <sheetFormatPr defaultRowHeight="15" x14ac:dyDescent="0.25"/>
  <cols>
    <col min="1" max="1" width="15.7109375" bestFit="1" customWidth="1"/>
    <col min="2" max="2" width="22" bestFit="1" customWidth="1"/>
    <col min="3" max="3" width="17" bestFit="1" customWidth="1"/>
    <col min="4" max="4" width="19.42578125" bestFit="1" customWidth="1"/>
    <col min="5" max="5" width="19.5703125" bestFit="1" customWidth="1"/>
    <col min="6" max="6" width="17.28515625" bestFit="1" customWidth="1"/>
    <col min="7" max="7" width="20.28515625" bestFit="1" customWidth="1"/>
    <col min="9" max="9" width="14.85546875" bestFit="1" customWidth="1"/>
    <col min="10" max="10" width="15.42578125" bestFit="1" customWidth="1"/>
    <col min="11" max="12" width="16.42578125" bestFit="1" customWidth="1"/>
    <col min="13" max="13" width="19.5703125" bestFit="1" customWidth="1"/>
  </cols>
  <sheetData>
    <row r="1" spans="1:13" x14ac:dyDescent="0.25">
      <c r="A1" s="32" t="s">
        <v>246</v>
      </c>
      <c r="B1" s="32" t="s">
        <v>247</v>
      </c>
      <c r="C1" s="32" t="s">
        <v>248</v>
      </c>
      <c r="D1" s="32" t="s">
        <v>249</v>
      </c>
      <c r="E1" s="32" t="s">
        <v>250</v>
      </c>
      <c r="F1" s="32" t="s">
        <v>251</v>
      </c>
      <c r="G1" s="32" t="s">
        <v>252</v>
      </c>
      <c r="H1" s="1"/>
      <c r="I1" s="1"/>
      <c r="J1" s="33" t="s">
        <v>253</v>
      </c>
      <c r="K1" s="33" t="s">
        <v>254</v>
      </c>
      <c r="L1" s="33" t="s">
        <v>255</v>
      </c>
      <c r="M1" s="33" t="s">
        <v>256</v>
      </c>
    </row>
    <row r="2" spans="1:13" x14ac:dyDescent="0.25">
      <c r="A2" s="32">
        <v>19.879065521653938</v>
      </c>
      <c r="B2" s="32">
        <f>'C13D'!D2</f>
        <v>47.682000000000002</v>
      </c>
      <c r="C2" s="32">
        <f>(B2*A2)/1000</f>
        <v>0.94787360220350303</v>
      </c>
      <c r="D2" s="32">
        <f>(C2/1000000)/238</f>
        <v>3.9826621941323661E-9</v>
      </c>
      <c r="E2" s="32">
        <f>D2*B22</f>
        <v>2398359173306510.5</v>
      </c>
      <c r="F2" s="32">
        <f>B18*E2</f>
        <v>1.1790237464029971E-2</v>
      </c>
      <c r="G2" s="32">
        <f>F2*B25</f>
        <v>1.1844074164778966E-2</v>
      </c>
      <c r="H2" s="1"/>
      <c r="I2" s="1"/>
      <c r="J2" s="33">
        <v>0.61007112693764465</v>
      </c>
      <c r="K2" s="33">
        <f>'C13D'!D12</f>
        <v>8.5099999999999995E-2</v>
      </c>
      <c r="L2" s="33">
        <f>K2*J2</f>
        <v>5.1917052902393554E-2</v>
      </c>
      <c r="M2" s="33">
        <f>L2*B26</f>
        <v>6.7350378502579883E-3</v>
      </c>
    </row>
    <row r="4" spans="1:13" x14ac:dyDescent="0.25">
      <c r="A4" s="18" t="s">
        <v>81</v>
      </c>
    </row>
    <row r="5" spans="1:13" x14ac:dyDescent="0.25">
      <c r="A5">
        <v>1.9838165398660088</v>
      </c>
      <c r="B5">
        <v>1.4142135623730951E-4</v>
      </c>
      <c r="C5">
        <f>C2*SQRT(((B5/B2)^2)+((A5/A2)^2))</f>
        <v>9.459234029566789E-2</v>
      </c>
      <c r="D5">
        <f>(C5/1000000)/238</f>
        <v>3.9744680796499116E-10</v>
      </c>
      <c r="E5">
        <f>D5*B22</f>
        <v>239342467756517.66</v>
      </c>
      <c r="F5">
        <f>B18*E5</f>
        <v>1.1765979680957654E-3</v>
      </c>
      <c r="G5">
        <f>F5*B25</f>
        <v>1.1819705615573899E-3</v>
      </c>
      <c r="J5">
        <v>2.4697145922778895E-2</v>
      </c>
      <c r="K5">
        <v>1E-4</v>
      </c>
      <c r="L5">
        <f>L2*SQRT(((K5/K2)^2)+((J5/J2)^2))</f>
        <v>2.102612362385313E-3</v>
      </c>
      <c r="M5">
        <f>L5*B26</f>
        <v>2.7276536423801069E-4</v>
      </c>
    </row>
    <row r="8" spans="1:13" x14ac:dyDescent="0.25">
      <c r="L8" s="18" t="s">
        <v>81</v>
      </c>
    </row>
    <row r="9" spans="1:13" x14ac:dyDescent="0.25">
      <c r="I9" t="s">
        <v>257</v>
      </c>
      <c r="J9">
        <f>G2+M2</f>
        <v>1.8579112015036953E-2</v>
      </c>
      <c r="L9">
        <f>SQRT((M5^2)+(G5^2))</f>
        <v>1.2130355940021653E-3</v>
      </c>
    </row>
    <row r="10" spans="1:13" x14ac:dyDescent="0.25">
      <c r="I10" t="s">
        <v>258</v>
      </c>
      <c r="J10">
        <f>F2+L2</f>
        <v>6.370729036642353E-2</v>
      </c>
      <c r="L10">
        <f>SQRT((L5^2)+(F5^2))</f>
        <v>2.4094317846709481E-3</v>
      </c>
    </row>
    <row r="11" spans="1:13" x14ac:dyDescent="0.25">
      <c r="M11" t="s">
        <v>268</v>
      </c>
    </row>
    <row r="12" spans="1:13" x14ac:dyDescent="0.25">
      <c r="I12" t="s">
        <v>259</v>
      </c>
      <c r="J12">
        <f>J9/J10</f>
        <v>0.29163243183277721</v>
      </c>
      <c r="L12">
        <f>J12*SQRT(((L9/J9)^2)+((L10/J10)^2))</f>
        <v>2.2004629292930684E-2</v>
      </c>
      <c r="M12">
        <f>L12*2</f>
        <v>4.4009258585861369E-2</v>
      </c>
    </row>
    <row r="13" spans="1:13" x14ac:dyDescent="0.25">
      <c r="A13" t="s">
        <v>260</v>
      </c>
      <c r="B13">
        <f>4.468*10^9</f>
        <v>4468000000</v>
      </c>
    </row>
    <row r="15" spans="1:13" x14ac:dyDescent="0.25">
      <c r="A15" t="s">
        <v>261</v>
      </c>
      <c r="B15">
        <f>B13*365.25*24*60*60</f>
        <v>1.409993568E+17</v>
      </c>
    </row>
    <row r="16" spans="1:13" x14ac:dyDescent="0.25">
      <c r="G16" t="s">
        <v>262</v>
      </c>
    </row>
    <row r="18" spans="1:3" x14ac:dyDescent="0.25">
      <c r="A18" t="s">
        <v>263</v>
      </c>
      <c r="B18">
        <f>(LN(2))/B15</f>
        <v>4.9159598759243794E-18</v>
      </c>
    </row>
    <row r="22" spans="1:3" x14ac:dyDescent="0.25">
      <c r="A22" t="s">
        <v>264</v>
      </c>
      <c r="B22">
        <f>6.022*10^23</f>
        <v>6.0219999999999996E+23</v>
      </c>
    </row>
    <row r="25" spans="1:3" x14ac:dyDescent="0.25">
      <c r="A25" t="s">
        <v>259</v>
      </c>
      <c r="B25">
        <v>1.004566210045662</v>
      </c>
      <c r="C25" t="s">
        <v>265</v>
      </c>
    </row>
    <row r="26" spans="1:3" x14ac:dyDescent="0.25">
      <c r="A26" t="s">
        <v>266</v>
      </c>
      <c r="B26">
        <v>0.12972689075630253</v>
      </c>
      <c r="C26" t="s">
        <v>267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C13D</vt:lpstr>
      <vt:lpstr>C13D gamma data</vt:lpstr>
      <vt:lpstr>Sr-90 cherenkov</vt:lpstr>
      <vt:lpstr>C13HP</vt:lpstr>
      <vt:lpstr>Alpha data</vt:lpstr>
      <vt:lpstr>U234 calcs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2021-03-17T15:55:22Z</dcterms:created>
  <dcterms:modified xsi:type="dcterms:W3CDTF">2021-12-16T15:16:28Z</dcterms:modified>
</cp:coreProperties>
</file>